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1"/>
  <workbookPr showInkAnnotation="0" autoCompressPictures="0"/>
  <mc:AlternateContent xmlns:mc="http://schemas.openxmlformats.org/markup-compatibility/2006">
    <mc:Choice Requires="x15">
      <x15ac:absPath xmlns:x15ac="http://schemas.microsoft.com/office/spreadsheetml/2010/11/ac" url="/Users/flavia-oanapetrisor/Desktop/"/>
    </mc:Choice>
  </mc:AlternateContent>
  <xr:revisionPtr revIDLastSave="0" documentId="13_ncr:1_{47709094-6E54-EB49-8F9A-55F4B4A028F1}" xr6:coauthVersionLast="47" xr6:coauthVersionMax="47" xr10:uidLastSave="{00000000-0000-0000-0000-000000000000}"/>
  <bookViews>
    <workbookView xWindow="0" yWindow="740" windowWidth="23700" windowHeight="24400" tabRatio="500" xr2:uid="{00000000-000D-0000-FFFF-FFFF00000000}"/>
  </bookViews>
  <sheets>
    <sheet name="Index" sheetId="1" r:id="rId1"/>
    <sheet name="Tab.01" sheetId="3" r:id="rId2"/>
    <sheet name="Tab.02" sheetId="4" r:id="rId3"/>
    <sheet name="Tab.03" sheetId="5" r:id="rId4"/>
    <sheet name="Tab.04" sheetId="6" r:id="rId5"/>
    <sheet name="Tab.05" sheetId="7" r:id="rId6"/>
    <sheet name="Tab.06" sheetId="8" r:id="rId7"/>
    <sheet name="Tab.07" sheetId="9" r:id="rId8"/>
    <sheet name="Tab.08" sheetId="10" r:id="rId9"/>
    <sheet name="Tab.09" sheetId="11" r:id="rId10"/>
    <sheet name="Tab.10" sheetId="12" r:id="rId11"/>
    <sheet name="Tab.11" sheetId="13" r:id="rId12"/>
    <sheet name="Tab.12" sheetId="14" r:id="rId13"/>
    <sheet name="Tab.13" sheetId="15" r:id="rId14"/>
    <sheet name="Tab.14" sheetId="16" r:id="rId15"/>
    <sheet name="Tab.15" sheetId="17" r:id="rId16"/>
    <sheet name="Tab.16" sheetId="18" r:id="rId17"/>
    <sheet name="Tab.17" sheetId="19" r:id="rId18"/>
    <sheet name="Tab.18" sheetId="20" r:id="rId19"/>
    <sheet name="Tab.19" sheetId="21" r:id="rId20"/>
    <sheet name="Tab.20" sheetId="22" r:id="rId21"/>
    <sheet name="Tab.21" sheetId="23" r:id="rId22"/>
    <sheet name="Tab.22" sheetId="24" r:id="rId23"/>
    <sheet name="Tab.23" sheetId="25" r:id="rId24"/>
    <sheet name="Tab.24" sheetId="26" r:id="rId25"/>
    <sheet name="Tab.25" sheetId="27" r:id="rId26"/>
    <sheet name="Tab.26" sheetId="28" r:id="rId27"/>
    <sheet name="Tab.27" sheetId="29" r:id="rId28"/>
    <sheet name="Tab.28" sheetId="30" r:id="rId29"/>
    <sheet name="Tab.29" sheetId="31" r:id="rId30"/>
    <sheet name="Tab.30" sheetId="32" r:id="rId31"/>
    <sheet name="Tab.31" sheetId="33" r:id="rId32"/>
    <sheet name="Tab.32" sheetId="34" r:id="rId33"/>
    <sheet name="Tab.33" sheetId="35" r:id="rId34"/>
    <sheet name="Tab.34" sheetId="36" r:id="rId35"/>
    <sheet name="Tab.35" sheetId="37" r:id="rId36"/>
    <sheet name="Tab.36" sheetId="38" r:id="rId37"/>
    <sheet name="Tab.37" sheetId="39" r:id="rId38"/>
    <sheet name="Tab.38" sheetId="40" r:id="rId39"/>
    <sheet name="Tab.39" sheetId="41" r:id="rId40"/>
    <sheet name="Tab.40" sheetId="42" r:id="rId41"/>
    <sheet name="Tab.41" sheetId="43" r:id="rId42"/>
    <sheet name="Tab.42" sheetId="44" r:id="rId43"/>
    <sheet name="Tab.43" sheetId="45" r:id="rId44"/>
    <sheet name="Tab.44" sheetId="46" r:id="rId45"/>
    <sheet name="Tab.45" sheetId="47" r:id="rId46"/>
    <sheet name="Tab.46" sheetId="48" r:id="rId47"/>
    <sheet name="Tab.47" sheetId="49" r:id="rId48"/>
    <sheet name="Tab.48" sheetId="50" r:id="rId49"/>
    <sheet name="Tab.49" sheetId="51" r:id="rId50"/>
    <sheet name="Tab.50" sheetId="52" r:id="rId51"/>
    <sheet name="Tab.51" sheetId="53" r:id="rId52"/>
    <sheet name="Tab.52" sheetId="54" r:id="rId53"/>
    <sheet name="Tab.53" sheetId="55" r:id="rId54"/>
    <sheet name="Tab.54" sheetId="56" r:id="rId55"/>
    <sheet name="Tab.55" sheetId="57" r:id="rId56"/>
    <sheet name="Tab.56" sheetId="58" r:id="rId57"/>
    <sheet name="Tab.57" sheetId="59" r:id="rId58"/>
    <sheet name="Tab.58" sheetId="60" r:id="rId59"/>
    <sheet name="Tab.59" sheetId="61" r:id="rId60"/>
    <sheet name="Tab.60" sheetId="62" r:id="rId61"/>
    <sheet name="Tab.61" sheetId="63" r:id="rId62"/>
    <sheet name="Tab.62" sheetId="64" r:id="rId63"/>
    <sheet name="Tab.63" sheetId="65" r:id="rId64"/>
    <sheet name="Tab.64" sheetId="66" r:id="rId65"/>
    <sheet name="Tab.65" sheetId="67" r:id="rId66"/>
    <sheet name="Tab.66" sheetId="68" r:id="rId67"/>
    <sheet name="Tab.67" sheetId="69" r:id="rId68"/>
    <sheet name="Tab.68" sheetId="70" r:id="rId69"/>
    <sheet name="Tab.69" sheetId="71" r:id="rId70"/>
    <sheet name="Tab.70" sheetId="72" r:id="rId71"/>
    <sheet name="Tab.71" sheetId="73" r:id="rId72"/>
    <sheet name="Tab.72" sheetId="74" r:id="rId73"/>
    <sheet name="Tab.73" sheetId="75" r:id="rId74"/>
    <sheet name="Tab.74" sheetId="76" r:id="rId75"/>
    <sheet name="Tab.75" sheetId="77" r:id="rId7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8" i="1" l="1"/>
  <c r="A53" i="1"/>
  <c r="A50" i="1"/>
  <c r="A44"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5" i="1"/>
  <c r="A46" i="1"/>
  <c r="A47" i="1"/>
  <c r="A48" i="1"/>
  <c r="A49" i="1"/>
  <c r="A51" i="1"/>
  <c r="A52" i="1"/>
  <c r="A54" i="1"/>
  <c r="A55" i="1"/>
  <c r="A56" i="1"/>
  <c r="A57" i="1"/>
  <c r="A59" i="1"/>
  <c r="A60" i="1"/>
  <c r="A61" i="1"/>
  <c r="A62" i="1"/>
  <c r="A63" i="1"/>
  <c r="A64" i="1"/>
  <c r="A65" i="1"/>
  <c r="A66" i="1"/>
  <c r="A67" i="1"/>
  <c r="A68" i="1"/>
  <c r="A69" i="1"/>
  <c r="A70" i="1"/>
  <c r="A71" i="1"/>
  <c r="A72" i="1"/>
  <c r="A73" i="1"/>
  <c r="A74" i="1"/>
  <c r="A75" i="1"/>
  <c r="A76" i="1"/>
  <c r="A77" i="1"/>
  <c r="A1" i="77"/>
  <c r="A1" i="76"/>
  <c r="A1" i="75"/>
  <c r="A1" i="74"/>
  <c r="A1" i="73"/>
  <c r="A1" i="72"/>
  <c r="A1" i="71"/>
  <c r="A1" i="70"/>
  <c r="A1" i="69"/>
  <c r="A1" i="68"/>
  <c r="A1" i="67"/>
  <c r="A1" i="66"/>
  <c r="A1" i="65"/>
  <c r="A1" i="64"/>
  <c r="A1" i="63"/>
  <c r="A1" i="62"/>
  <c r="A1" i="61"/>
  <c r="A1" i="60"/>
  <c r="A1" i="59"/>
  <c r="A1" i="58"/>
  <c r="A1" i="57"/>
  <c r="A1" i="56"/>
  <c r="A1" i="55"/>
  <c r="A1" i="54"/>
  <c r="A1" i="53"/>
  <c r="A1" i="52"/>
  <c r="A1" i="51"/>
  <c r="A1" i="50"/>
  <c r="A1" i="49"/>
  <c r="A1" i="48"/>
  <c r="A1" i="47"/>
  <c r="A1" i="46"/>
  <c r="A1" i="45"/>
  <c r="A1" i="44"/>
  <c r="A1" i="43"/>
  <c r="A1" i="42"/>
  <c r="A1" i="41"/>
  <c r="A1" i="40"/>
  <c r="A1" i="39"/>
  <c r="A1" i="38"/>
  <c r="A1" i="37"/>
  <c r="A1" i="36"/>
  <c r="A1" i="35"/>
  <c r="A1" i="34"/>
  <c r="A1" i="33"/>
  <c r="A1" i="32"/>
  <c r="A1" i="31"/>
  <c r="A1" i="30"/>
  <c r="A1" i="29"/>
  <c r="A1" i="28"/>
  <c r="A1" i="27"/>
  <c r="A1" i="26"/>
  <c r="A1" i="25"/>
  <c r="A1" i="24"/>
  <c r="A1" i="23"/>
  <c r="A1" i="22"/>
  <c r="A1" i="21"/>
  <c r="A1" i="20"/>
  <c r="A1" i="19"/>
  <c r="A1" i="18"/>
  <c r="A1" i="17"/>
  <c r="A1" i="16"/>
  <c r="A1" i="15"/>
  <c r="A1" i="14"/>
  <c r="A1" i="13"/>
  <c r="A1" i="12"/>
  <c r="A1" i="11"/>
  <c r="A1" i="10"/>
  <c r="A1" i="9"/>
  <c r="A1" i="8"/>
  <c r="A1" i="7"/>
  <c r="A1" i="6"/>
  <c r="A1" i="5"/>
  <c r="A1" i="4"/>
  <c r="A1" i="3"/>
</calcChain>
</file>

<file path=xl/sharedStrings.xml><?xml version="1.0" encoding="utf-8"?>
<sst xmlns="http://schemas.openxmlformats.org/spreadsheetml/2006/main" count="2245" uniqueCount="1108">
  <si>
    <t>Index</t>
  </si>
  <si>
    <t>Individualisierte Offenlegung der Sitzungsteilnahme</t>
  </si>
  <si>
    <t>Kompetenzprofil für das Gesamtgremium</t>
  </si>
  <si>
    <t>Stand der Umsetzung des Kompetenzprofils</t>
  </si>
  <si>
    <t>Grundzüge des Vergütungssystems 2023</t>
  </si>
  <si>
    <t>Jahresbonus 2024/25 – Zielerreichung operatives Ergebnis vor Steuern (EBT)</t>
  </si>
  <si>
    <t>Jahresbonus 2024/25 – Zielerreichung individuelle Leistungen</t>
  </si>
  <si>
    <t>Jahresbonus 2024/25 – Zielerreichung ESG-Ziele</t>
  </si>
  <si>
    <t>Jahresbonus 2024/25 – Gesamtzielerreichung und Auszahlung</t>
  </si>
  <si>
    <t>Performance Share Plan 2024/25 – Zuteilung</t>
  </si>
  <si>
    <t>Aktien-Deferral 2021/22</t>
  </si>
  <si>
    <t>Performance Cash Plan 2021/22 – Zielerreichung operativer ROCE</t>
  </si>
  <si>
    <t>Performance Cash Plan 2021/22 – Auszahlung</t>
  </si>
  <si>
    <t xml:space="preserve">Im Geschäftsjahr 2024/25 gewährte und geschuldete Vergütung ehemaliger Vorstandsmitglieder gemäß § 162 AktG </t>
  </si>
  <si>
    <t>Vergleichende Darstellung</t>
  </si>
  <si>
    <t>Kennzahlen zur Aurubis-Aktie</t>
  </si>
  <si>
    <t>Informationen zur Aktie</t>
  </si>
  <si>
    <t>Analysten-Coverage 2024/25</t>
  </si>
  <si>
    <t xml:space="preserve">Standorte und Mitarbeiter </t>
  </si>
  <si>
    <t>Rendite auf das eingesetzte Kapital (ROCE) operativ</t>
  </si>
  <si>
    <t>Arbeitssicherheitskennzahlen für Aurubis-Mitarbeiter, Zeitarbeiter und Mitarbeiter von Fremdfirmen</t>
  </si>
  <si>
    <t>Überleitung der Konzern-Gewinn- und Verlustrechnung</t>
  </si>
  <si>
    <t>Umsatzerlöse nach Absatzmärkten</t>
  </si>
  <si>
    <t>Zusammensetzung der Finanzverbindlichkeiten</t>
  </si>
  <si>
    <t>IFRS-Bilanzstruktur des Konzerns</t>
  </si>
  <si>
    <t>Überleitung der Konzernbilanz</t>
  </si>
  <si>
    <t>Rendite auf das eingesetzte Kapital (ROCE) (operativ)</t>
  </si>
  <si>
    <t>Finanzkennzahlen des Konzerns (operativ)</t>
  </si>
  <si>
    <t>Netto-Finanzposition im Konzern</t>
  </si>
  <si>
    <t>Kennzahlen Segment Multimetal Recycling</t>
  </si>
  <si>
    <t>Kennzahlen Segment Custom Smelting &amp; Products</t>
  </si>
  <si>
    <t>Verkaufsmengen anderer Metalle</t>
  </si>
  <si>
    <t>Gewinn- und Verlustrechnung</t>
  </si>
  <si>
    <t>Bilanzstruktur der Aurubis AG</t>
  </si>
  <si>
    <t>Potenzieller Ergebniseffekt</t>
  </si>
  <si>
    <t>Übersicht Leistungskennzahlen gemäß EU-Taxonomie</t>
  </si>
  <si>
    <t>THG-Gesamtemissionen nach Scope-1-, Scope-2- und signifikanten Scope-3-Emissionen (gemäß E1-6 AR 48)</t>
  </si>
  <si>
    <t xml:space="preserve">Ausstoß von Luftschadstoffen </t>
  </si>
  <si>
    <t>Recyclinganteil von Produkten (%)</t>
  </si>
  <si>
    <t>Zahl der Arbeitnehmer nach Geschlecht</t>
  </si>
  <si>
    <t>Geschlechterverteilung in der obersten Führungsebene</t>
  </si>
  <si>
    <t>Altersstruktur der Arbeitnehmer</t>
  </si>
  <si>
    <t>Trainingsmetriken</t>
  </si>
  <si>
    <t>Kennzahlen für Gesundheitsschutz und Sicherheit</t>
  </si>
  <si>
    <t>Meldebogen Umsatz</t>
  </si>
  <si>
    <t>Umsatzanteil/Gesamtumsatz</t>
  </si>
  <si>
    <t>Meldebogen OpEx</t>
  </si>
  <si>
    <t>OpEx-Anteil/Gesamt-OpEx</t>
  </si>
  <si>
    <t>Meldebogen CapEx</t>
  </si>
  <si>
    <t>CapEx-Anteil/Gesamt-CapEx</t>
  </si>
  <si>
    <t>Taxonomiekonformer Umsatzzähler</t>
  </si>
  <si>
    <t>Taxonomiekonformer OpEx-Zähler</t>
  </si>
  <si>
    <t>Taxonomiekonformer CapEx-Zähler</t>
  </si>
  <si>
    <t>Taxonomiefähige Tätigkeiten bei Aurubis | Zuornung zu Umweltziel – Klimaschutz</t>
  </si>
  <si>
    <t>Tätigkeiten in den Bereichen Kernenergie und fossiles Gas</t>
  </si>
  <si>
    <t>Konzern-Gewinn- und Verlustrechnung 
vom 01.10. bis 30.09. nach IFRS</t>
  </si>
  <si>
    <t>Konzern-Gesamtergebnisrechnung 
vom 01.10. bis 30.09. nach IFRS</t>
  </si>
  <si>
    <t>Konzernbilanz Aktiva nach IFRS</t>
  </si>
  <si>
    <t>Konzernbilanz Passiva nach IFRS</t>
  </si>
  <si>
    <t>Konzern-Kapitalflussrechnung 
vom 01.10. bis 30.09. nach IFRS</t>
  </si>
  <si>
    <t>Konzern-Eigenkapitalveränderungsrechnung</t>
  </si>
  <si>
    <t>Finanzkalender</t>
  </si>
  <si>
    <t>5-Jahres-Übersicht vom Aurubis-Konzern (IFRS)</t>
  </si>
  <si>
    <t>Aurubis AG Geschäftsbericht 2024/25</t>
  </si>
  <si>
    <t>2024/25</t>
  </si>
  <si>
    <t>Sitzungsanwesenheit</t>
  </si>
  <si>
    <t>Anwesenheit</t>
  </si>
  <si>
    <t>Aufsichtsratsplenum</t>
  </si>
  <si>
    <r>
      <rPr>
        <sz val="12"/>
        <color rgb="FF000000"/>
        <rFont val="Arial"/>
        <family val="2"/>
      </rPr>
      <t>4 ordentliche Sitzungen und 1 außerordentliche Sitzung sowie 1 Hauptversammlung</t>
    </r>
  </si>
  <si>
    <t>Prof. Dr. Fritz Vahrenholt (Vorsitzender)</t>
  </si>
  <si>
    <t>6/6</t>
  </si>
  <si>
    <t>100 %</t>
  </si>
  <si>
    <t>Jan Koltze (stellvertretender Vorsitzender)</t>
  </si>
  <si>
    <t>83 %</t>
  </si>
  <si>
    <t>Deniz Filiz Acar</t>
  </si>
  <si>
    <t xml:space="preserve">Kathrin Dahnke </t>
  </si>
  <si>
    <t>Christian Ehrentraut</t>
  </si>
  <si>
    <t>Gunnar Groebler</t>
  </si>
  <si>
    <t>5/6</t>
  </si>
  <si>
    <t>83 %</t>
  </si>
  <si>
    <t xml:space="preserve">Prof. Dr. Markus Kramer </t>
  </si>
  <si>
    <t>Dr. Stephan Krümmer</t>
  </si>
  <si>
    <t>Dr. Elke Lossin</t>
  </si>
  <si>
    <t>Daniel Mrosek</t>
  </si>
  <si>
    <t>Dr. Sandra Reich</t>
  </si>
  <si>
    <t>Stefan Schmidt</t>
  </si>
  <si>
    <t>3 Sitzungen</t>
  </si>
  <si>
    <t>Prof. Dr. Markus Kramer (Vorsitzender)</t>
  </si>
  <si>
    <t>3/3</t>
  </si>
  <si>
    <t>100 %</t>
  </si>
  <si>
    <t xml:space="preserve">Gunnar Groebler </t>
  </si>
  <si>
    <t>2/3</t>
  </si>
  <si>
    <t>66 %</t>
  </si>
  <si>
    <t>Jan Koltze</t>
  </si>
  <si>
    <t>Prof. Dr. Fritz Vahrenholt</t>
  </si>
  <si>
    <t xml:space="preserve">5 Sitzungen </t>
  </si>
  <si>
    <t xml:space="preserve">Dr. Stephan Krümmer (Vorsitzender) </t>
  </si>
  <si>
    <t>5/5</t>
  </si>
  <si>
    <t xml:space="preserve">Deniz Filiz Acar </t>
  </si>
  <si>
    <t xml:space="preserve">Jan Koltze </t>
  </si>
  <si>
    <t>60 %</t>
  </si>
  <si>
    <t xml:space="preserve">Dr. Elke Lossin </t>
  </si>
  <si>
    <t xml:space="preserve">Dr. Sandra Reich </t>
  </si>
  <si>
    <t xml:space="preserve">Innovations-/Investitionsausschuss (ehemals Technikausschuss) </t>
  </si>
  <si>
    <t xml:space="preserve">4 Sitzungen </t>
  </si>
  <si>
    <t xml:space="preserve">Prof. Dr. Fritz Vahrenholt (Vorsitzender ) </t>
  </si>
  <si>
    <t>4/4</t>
  </si>
  <si>
    <t xml:space="preserve">Christian Ehrentraut </t>
  </si>
  <si>
    <t xml:space="preserve">Dr. Stephan Krümmer </t>
  </si>
  <si>
    <t xml:space="preserve">Daniel Mrosek </t>
  </si>
  <si>
    <t xml:space="preserve">Stefan Schmidt </t>
  </si>
  <si>
    <t>tagte im Geschäftsjahr nicht</t>
  </si>
  <si>
    <t xml:space="preserve">tagte im Geschäftsjahr nicht </t>
  </si>
  <si>
    <t>Kompetenzfeld</t>
  </si>
  <si>
    <t>Kompetenzbeschreibung</t>
  </si>
  <si>
    <t>Management &amp; HR</t>
  </si>
  <si>
    <t>Erfahrung und Kenntnisse in der Führung von Industrieunternehmen bei strukturellen Änderungen in der Branche, bei sonstigen Veränderungsprozessen und Effizienzprogrammen</t>
  </si>
  <si>
    <t xml:space="preserve">Erfahrung und Kenntnisse im internationalen Personalmanagement, einschließlich Rekrutierung und Entwicklung von Führungskräften </t>
  </si>
  <si>
    <t xml:space="preserve">Technik </t>
  </si>
  <si>
    <t>Verständnis der Metallurgie und der Lieferkette für ressourcen- und energieintensive Industrieunternehmen</t>
  </si>
  <si>
    <t>Digitalisierung</t>
  </si>
  <si>
    <t>Erfahrung mit der Digitalisierung von Industrieprozessen und Unternehmen</t>
  </si>
  <si>
    <t>Internationale Erfahrung</t>
  </si>
  <si>
    <t>Persönliche Erfahrung in der Führung von Unternehmen in internationalen Schlüsselmärkten außerhalb von Deutschland</t>
  </si>
  <si>
    <t>Gutes Verständnis der Kunden-, Investoren- oder Regulierungslandschaft an wichtigen internationalen Standorten</t>
  </si>
  <si>
    <t>Risikomanagement</t>
  </si>
  <si>
    <t>Erfahrung im Umgang mit operativen, marktspezifischen, geopolitischen, finanziellen, rechtlichen und Compliance-Risiken mithilfe interner Kontrollsysteme</t>
  </si>
  <si>
    <t>Finanzen</t>
  </si>
  <si>
    <t>Vertiefte Kenntnisse und Erfahrungen in der Anwendung internationaler Rechnungslegungsgrundsätze und interner Kontrollverfahren</t>
  </si>
  <si>
    <t>Gute Kenntnisse der Unternehmensfinanzierung und der Kapitalmärkte</t>
  </si>
  <si>
    <t>Abschlussprüfung</t>
  </si>
  <si>
    <t>Fachwissen und persönliche Erfahrung in der Rechnungslegung und Abschlussprüfung, einschließlich der Nachhaltigkeitsberichterstattung</t>
  </si>
  <si>
    <t>Environment, Social and Corporate Governance (ESG)</t>
  </si>
  <si>
    <t>Kenntnisse der ESG-Faktoren und deren Bedeutung für Aurubis, insbesondere als energieintensives Unternehmen</t>
  </si>
  <si>
    <t>Erfahrung im Bereich Nachhaltigkeit, nachhaltige Technologien und Unternehmensverantwortung</t>
  </si>
  <si>
    <t>Kenntnisse der gesetzlichen Bestimmungen und Standards zur Corporate Governance und Compliance für ein börsennotiertes Unternehmen (Deutscher Corporate Governance Kodex, Marktmissbrauchsverordnung etc.)</t>
  </si>
  <si>
    <t xml:space="preserve">Strategie </t>
  </si>
  <si>
    <t>Erfahrung mit Strategieentwicklungs- und -umsetzungsprozessen</t>
  </si>
  <si>
    <t>Erfahrung mit M&amp;A-Prozessen</t>
  </si>
  <si>
    <t>Prof. Dr. Fritz  Vahrenholt</t>
  </si>
  <si>
    <r>
      <rPr>
        <sz val="12"/>
        <color rgb="FF000000"/>
        <rFont val="Arial"/>
        <family val="2"/>
      </rPr>
      <t xml:space="preserve">Jan </t>
    </r>
    <r>
      <rPr>
        <sz val="12"/>
        <color rgb="FF000000"/>
        <rFont val="Arial"/>
        <family val="2"/>
      </rPr>
      <t> </t>
    </r>
    <r>
      <rPr>
        <sz val="12"/>
        <color rgb="FF000000"/>
        <rFont val="Arial"/>
        <family val="2"/>
      </rPr>
      <t>Koltze</t>
    </r>
    <r>
      <rPr>
        <vertAlign val="superscript"/>
        <sz val="12"/>
        <color rgb="FF000000"/>
        <rFont val="Arial"/>
        <family val="2"/>
      </rPr>
      <t>1</t>
    </r>
  </si>
  <si>
    <r>
      <rPr>
        <sz val="12"/>
        <color rgb="FF000000"/>
        <rFont val="Arial"/>
        <family val="2"/>
      </rPr>
      <t xml:space="preserve">Deniz Filiz </t>
    </r>
    <r>
      <rPr>
        <sz val="12"/>
        <color rgb="FF000000"/>
        <rFont val="Arial"/>
        <family val="2"/>
      </rPr>
      <t> </t>
    </r>
    <r>
      <rPr>
        <sz val="12"/>
        <color rgb="FF000000"/>
        <rFont val="Arial"/>
        <family val="2"/>
      </rPr>
      <t>Acar</t>
    </r>
    <r>
      <rPr>
        <vertAlign val="superscript"/>
        <sz val="12"/>
        <color rgb="FF000000"/>
        <rFont val="Arial"/>
        <family val="2"/>
      </rPr>
      <t>1</t>
    </r>
  </si>
  <si>
    <t>Kathrin  Dahnke</t>
  </si>
  <si>
    <r>
      <rPr>
        <sz val="12"/>
        <color rgb="FF000000"/>
        <rFont val="Arial"/>
        <family val="2"/>
      </rPr>
      <t>Christian Ehrentraut</t>
    </r>
    <r>
      <rPr>
        <vertAlign val="superscript"/>
        <sz val="12"/>
        <color rgb="FF000000"/>
        <rFont val="Arial"/>
        <family val="2"/>
      </rPr>
      <t>1</t>
    </r>
  </si>
  <si>
    <r>
      <rPr>
        <sz val="12"/>
        <color rgb="FF000000"/>
        <rFont val="Arial"/>
        <family val="2"/>
      </rPr>
      <t xml:space="preserve">Gunnar </t>
    </r>
    <r>
      <rPr>
        <sz val="12"/>
        <color rgb="FF000000"/>
        <rFont val="Arial"/>
        <family val="2"/>
      </rPr>
      <t> </t>
    </r>
    <r>
      <rPr>
        <sz val="12"/>
        <color rgb="FF000000"/>
        <rFont val="Arial"/>
        <family val="2"/>
      </rPr>
      <t>Groebler</t>
    </r>
    <r>
      <rPr>
        <vertAlign val="superscript"/>
        <sz val="12"/>
        <color rgb="FF000000"/>
        <rFont val="Arial"/>
        <family val="2"/>
      </rPr>
      <t>2</t>
    </r>
  </si>
  <si>
    <t>Prof. Dr. Markus  Kramer</t>
  </si>
  <si>
    <r>
      <rPr>
        <sz val="12"/>
        <color rgb="FF000000"/>
        <rFont val="Arial"/>
        <family val="2"/>
      </rPr>
      <t xml:space="preserve">Dr. Elke </t>
    </r>
    <r>
      <rPr>
        <sz val="12"/>
        <color rgb="FF000000"/>
        <rFont val="Arial"/>
        <family val="2"/>
      </rPr>
      <t> </t>
    </r>
    <r>
      <rPr>
        <sz val="12"/>
        <color rgb="FF000000"/>
        <rFont val="Arial"/>
        <family val="2"/>
      </rPr>
      <t>Lossin</t>
    </r>
    <r>
      <rPr>
        <vertAlign val="superscript"/>
        <sz val="12"/>
        <color rgb="FF000000"/>
        <rFont val="Arial"/>
        <family val="2"/>
      </rPr>
      <t>1</t>
    </r>
  </si>
  <si>
    <r>
      <rPr>
        <sz val="12"/>
        <color rgb="FF000000"/>
        <rFont val="Arial"/>
        <family val="2"/>
      </rPr>
      <t xml:space="preserve">Daniel </t>
    </r>
    <r>
      <rPr>
        <sz val="12"/>
        <color rgb="FF000000"/>
        <rFont val="Arial"/>
        <family val="2"/>
      </rPr>
      <t> </t>
    </r>
    <r>
      <rPr>
        <sz val="12"/>
        <color rgb="FF000000"/>
        <rFont val="Arial"/>
        <family val="2"/>
      </rPr>
      <t>Mrosek</t>
    </r>
    <r>
      <rPr>
        <vertAlign val="superscript"/>
        <sz val="12"/>
        <color rgb="FF000000"/>
        <rFont val="Arial"/>
        <family val="2"/>
      </rPr>
      <t>1</t>
    </r>
  </si>
  <si>
    <t>Dr. Sandra  Reich</t>
  </si>
  <si>
    <r>
      <rPr>
        <sz val="12"/>
        <color rgb="FF000000"/>
        <rFont val="Arial"/>
        <family val="2"/>
      </rPr>
      <t xml:space="preserve">Stefan </t>
    </r>
    <r>
      <rPr>
        <sz val="12"/>
        <color rgb="FF000000"/>
        <rFont val="Arial"/>
        <family val="2"/>
      </rPr>
      <t> </t>
    </r>
    <r>
      <rPr>
        <sz val="12"/>
        <color rgb="FF000000"/>
        <rFont val="Arial"/>
        <family val="2"/>
      </rPr>
      <t>Schmidt</t>
    </r>
    <r>
      <rPr>
        <vertAlign val="superscript"/>
        <sz val="12"/>
        <color rgb="FF000000"/>
        <rFont val="Arial"/>
        <family val="2"/>
      </rPr>
      <t>1</t>
    </r>
  </si>
  <si>
    <t>Zugehörigkeitsdauer</t>
  </si>
  <si>
    <t>Mitglied seit</t>
  </si>
  <si>
    <t>1999</t>
  </si>
  <si>
    <t>2011</t>
  </si>
  <si>
    <t>2019</t>
  </si>
  <si>
    <t>2023</t>
  </si>
  <si>
    <t>2021</t>
  </si>
  <si>
    <t>2018</t>
  </si>
  <si>
    <t>2013</t>
  </si>
  <si>
    <t>Persönliche Eignung</t>
  </si>
  <si>
    <t>Unabhängigkeit</t>
  </si>
  <si>
    <t>√</t>
  </si>
  <si>
    <t>Mandatsbeschränkungen</t>
  </si>
  <si>
    <t>Diversität</t>
  </si>
  <si>
    <t>Geschlecht</t>
  </si>
  <si>
    <t>männlich</t>
  </si>
  <si>
    <t>weiblich</t>
  </si>
  <si>
    <t>Geburtsjahr</t>
  </si>
  <si>
    <t>1949</t>
  </si>
  <si>
    <t>1963</t>
  </si>
  <si>
    <t>1978</t>
  </si>
  <si>
    <t>1960</t>
  </si>
  <si>
    <t>1965</t>
  </si>
  <si>
    <t>1972</t>
  </si>
  <si>
    <t>1964</t>
  </si>
  <si>
    <t>1956</t>
  </si>
  <si>
    <t>1989</t>
  </si>
  <si>
    <t>1977</t>
  </si>
  <si>
    <t>1967</t>
  </si>
  <si>
    <t>Ausbildung</t>
  </si>
  <si>
    <t>Chemie</t>
  </si>
  <si>
    <t>Betriebswirt</t>
  </si>
  <si>
    <t>Metallurgie</t>
  </si>
  <si>
    <t>Staatsangehörigkeit</t>
  </si>
  <si>
    <t>deutsch</t>
  </si>
  <si>
    <t>Kompetenzen</t>
  </si>
  <si>
    <t>Management &amp; HR</t>
  </si>
  <si>
    <t xml:space="preserve">Internationale Erfahrung </t>
  </si>
  <si>
    <t>ESG</t>
  </si>
  <si>
    <t>Festvergütung</t>
  </si>
  <si>
    <t>Feste jährliche Grundbezüge, welche monatlich in gleichen Raten ausgezahlt werden</t>
  </si>
  <si>
    <r>
      <rPr>
        <sz val="12"/>
        <color rgb="FF1D1D1D"/>
        <rFont val="Arial"/>
        <family val="2"/>
      </rPr>
      <t>Nebenleistungen in Form von Sachbezügen, die im Wesentlichen aus dem nach steuerlichen Richtlinien anzusetzenden Wert für Versicherungsprämien und Dienstwagennutzung bestehen</t>
    </r>
  </si>
  <si>
    <t>Malus &amp; Clawback</t>
  </si>
  <si>
    <r>
      <rPr>
        <sz val="12"/>
        <color rgb="FF1D1D1D"/>
        <rFont val="Arial"/>
        <family val="2"/>
      </rPr>
      <t>Möglichkeit zur teilweisen oder vollständigen Reduzierung (Malus) oder Rückforderung (Clawback) der variablen Vergütung (einjährige und mehrjährige variable Vergütung) im Falle eines Compliance-Vergehens oder bei fehlerhaftem Konzernabschluss</t>
    </r>
  </si>
  <si>
    <r>
      <rPr>
        <sz val="12"/>
        <color rgb="FF1D1D1D"/>
        <rFont val="Arial"/>
        <family val="2"/>
      </rPr>
      <t>Im Falle einer vorzeitigen Beendigung der Vorstandstätigkeit ohne wichtigen Grund wird im Rahmen des Vergütungssystems eine Abfindung gezahlt, die auf zwei Jahresgesamtvergütungen begrenzt ist und keinen längeren Zeitraum als die Restlaufzeit des Dienstvertrags vergütet</t>
    </r>
  </si>
  <si>
    <t>Nachvertragliches Wettbewerbsverbot</t>
  </si>
  <si>
    <t>In den Anstellungsverträgen sind keine nachvertraglichen Wettbewerbsverbote enthalten</t>
  </si>
  <si>
    <t>Change of Control</t>
  </si>
  <si>
    <t>Zusagen für Leistungen aus Anlass der vorzeitigen Beendigung des Anstellungsvertrags durch das Vorstandsmitglied infolge eines Kontrollwechsels (Change of Control) werden nicht vereinbart</t>
  </si>
  <si>
    <t>Mindestwert</t>
  </si>
  <si>
    <t>Zielwert</t>
  </si>
  <si>
    <t>Maximalwert</t>
  </si>
  <si>
    <t>Ist-Wert</t>
  </si>
  <si>
    <t>EBT in Mio. €</t>
  </si>
  <si>
    <t>Zielerreichung in %</t>
  </si>
  <si>
    <t>Anteil</t>
  </si>
  <si>
    <t>Zielwertmessung</t>
  </si>
  <si>
    <r>
      <rPr>
        <b/>
        <sz val="12"/>
        <color rgb="FF0076A7"/>
        <rFont val="Arial"/>
        <family val="2"/>
      </rPr>
      <t>Status</t>
    </r>
  </si>
  <si>
    <t>Zielerreichung</t>
  </si>
  <si>
    <t>Werksschutz</t>
  </si>
  <si>
    <t>50 %</t>
  </si>
  <si>
    <t>Erreicht</t>
  </si>
  <si>
    <t>150 %</t>
  </si>
  <si>
    <t>Teilweise erreicht</t>
  </si>
  <si>
    <t>Führung und Kultur</t>
  </si>
  <si>
    <r>
      <rPr>
        <b/>
        <sz val="12"/>
        <color rgb="FF000000"/>
        <rFont val="Arial"/>
        <family val="2"/>
      </rPr>
      <t>ESG (Fokus Arbeitssicherheit)</t>
    </r>
  </si>
  <si>
    <t>Im Falle eines tödlichen Unfalls im Unternehmen wird der individuelle Zielerreichungsgrad auf 0 % gesetzt.
(Unfall mit Todesfolge eines Mitarbeiters eines externen Dienstleis-tungsunternehmens  am 24.06.2025 im Werk Lünen)</t>
  </si>
  <si>
    <t>Vorstandsmitglied</t>
  </si>
  <si>
    <t>Operatives EBT</t>
  </si>
  <si>
    <t>Individuelle Leistung</t>
  </si>
  <si>
    <t>ESG-Ziele</t>
  </si>
  <si>
    <t>Zielbetrag 
in €</t>
  </si>
  <si>
    <t>Gewichtung</t>
  </si>
  <si>
    <t>Ziel-
erreichung</t>
  </si>
  <si>
    <t>Ziel-
erreichung
gesamt</t>
  </si>
  <si>
    <t>Auszahlung Jahresbonus in €</t>
  </si>
  <si>
    <t>Dr. Toralf Haag</t>
  </si>
  <si>
    <t>Steffen Alexander Hoffmann</t>
  </si>
  <si>
    <t>Inge Hofkens</t>
  </si>
  <si>
    <t>Tim Kurth</t>
  </si>
  <si>
    <t>Zielbetrag
in €</t>
  </si>
  <si>
    <t>Startaktienkurs 
in €</t>
  </si>
  <si>
    <t>Vorläufige Anzahl virtueller Aktien</t>
  </si>
  <si>
    <t>Aktien-Deferral 
in €</t>
  </si>
  <si>
    <t>Anzahl virtueller Aktien</t>
  </si>
  <si>
    <t>Endaktienkurs 
in €</t>
  </si>
  <si>
    <t>Auszahlung 
in €</t>
  </si>
  <si>
    <t>Roland Harings</t>
  </si>
  <si>
    <t>Dr. Heiko Arnold</t>
  </si>
  <si>
    <t>Rainer Verhoeven</t>
  </si>
  <si>
    <t>in %</t>
  </si>
  <si>
    <t>Operativer ROCE</t>
  </si>
  <si>
    <t>ROCE
Zielerreichung</t>
  </si>
  <si>
    <t>Auszahlung
in €</t>
  </si>
  <si>
    <r>
      <rPr>
        <b/>
        <sz val="16"/>
        <color rgb="FF000000"/>
        <rFont val="Arial"/>
        <family val="2"/>
      </rPr>
      <t>Zielvergütung des Geschäftsjahres 202</t>
    </r>
    <r>
      <rPr>
        <b/>
        <sz val="16"/>
        <color rgb="FF000000"/>
        <rFont val="Arial"/>
        <family val="2"/>
      </rPr>
      <t>4</t>
    </r>
    <r>
      <rPr>
        <b/>
        <sz val="16"/>
        <color rgb="FF000000"/>
        <rFont val="Arial"/>
        <family val="2"/>
      </rPr>
      <t>/2</t>
    </r>
    <r>
      <rPr>
        <b/>
        <sz val="16"/>
        <color rgb="FF000000"/>
        <rFont val="Arial"/>
        <family val="2"/>
      </rPr>
      <t>5</t>
    </r>
    <r>
      <rPr>
        <b/>
        <vertAlign val="superscript"/>
        <sz val="16"/>
        <color rgb="FF000000"/>
        <rFont val="Arial"/>
        <family val="2"/>
      </rPr>
      <t xml:space="preserve"> 1</t>
    </r>
  </si>
  <si>
    <r>
      <rPr>
        <sz val="12"/>
        <color rgb="FF000000"/>
        <rFont val="Arial"/>
        <family val="2"/>
      </rPr>
      <t>2023/24</t>
    </r>
    <r>
      <rPr>
        <vertAlign val="superscript"/>
        <sz val="12"/>
        <color rgb="FF000000"/>
        <rFont val="Arial"/>
        <family val="2"/>
      </rPr>
      <t>2</t>
    </r>
  </si>
  <si>
    <t>2023/24</t>
  </si>
  <si>
    <t>in €</t>
  </si>
  <si>
    <t>Grundbezüge</t>
  </si>
  <si>
    <t>Nebenleistungen</t>
  </si>
  <si>
    <t>Versorgungsbeitrag</t>
  </si>
  <si>
    <t>Einjährige variable Vergütung</t>
  </si>
  <si>
    <t>Jahresbonus 2024/25</t>
  </si>
  <si>
    <t>Jahresbonus 2023/24</t>
  </si>
  <si>
    <t>Mehrjährige variable Vergütung</t>
  </si>
  <si>
    <t>Performance Share Plan 2024/25</t>
  </si>
  <si>
    <t>Performance Share Plan 2023/24</t>
  </si>
  <si>
    <t>Gesamtvergütung</t>
  </si>
  <si>
    <r>
      <rPr>
        <b/>
        <sz val="16"/>
        <color rgb="FF000000"/>
        <rFont val="Arial"/>
        <family val="2"/>
      </rPr>
      <t>Im Geschäftsjahr 2024/25 gewährte und geschuldete Vergütung der aktiven Vorstandsmitglieder gemäß § 162 AktG</t>
    </r>
    <r>
      <rPr>
        <b/>
        <vertAlign val="superscript"/>
        <sz val="16"/>
        <color rgb="FF000000"/>
        <rFont val="Arial"/>
        <family val="2"/>
      </rPr>
      <t>1</t>
    </r>
  </si>
  <si>
    <t>Einmalzahlungen (Kompensations- und Abfindungszahlungen)</t>
  </si>
  <si>
    <t>Aktien-Deferral 2020/21</t>
  </si>
  <si>
    <t>Performance Cash Plan 2021/22</t>
  </si>
  <si>
    <t>Performance Cash Plan 2020/21</t>
  </si>
  <si>
    <t xml:space="preserve">Rentenzahlung </t>
  </si>
  <si>
    <t>Erwin Faust bis 30.06.2017</t>
  </si>
  <si>
    <t>Dr. Bernd Drouven bis 01.10.2015</t>
  </si>
  <si>
    <r>
      <rPr>
        <b/>
        <sz val="16"/>
        <color rgb="FF000000"/>
        <rFont val="Arial"/>
        <family val="2"/>
      </rPr>
      <t>Im Geschäftsjahr 2024/25 gewährte und geschuldete Vergütung des Aufsichtsrats gemäß § 162 AktG</t>
    </r>
    <r>
      <rPr>
        <b/>
        <vertAlign val="superscript"/>
        <sz val="16"/>
        <color rgb="FF000000"/>
        <rFont val="Arial"/>
        <family val="2"/>
      </rPr>
      <t>1</t>
    </r>
  </si>
  <si>
    <t>Feste Vergütung</t>
  </si>
  <si>
    <t>Vergütung für Ausschusstätigkeit</t>
  </si>
  <si>
    <t>Sitzungsgeld</t>
  </si>
  <si>
    <t>Geschäftsjahr 2024/25</t>
  </si>
  <si>
    <t>Vertreter der Anteilseigner</t>
  </si>
  <si>
    <t>Prof. Dr. Fritz Vahrenholt
Vorsitzender des Aufsichtsrats</t>
  </si>
  <si>
    <t>seit 01.03.2018</t>
  </si>
  <si>
    <t>Kathrin Dahnke</t>
  </si>
  <si>
    <t>seit 16.02.2023</t>
  </si>
  <si>
    <t>seit 01.10.2021</t>
  </si>
  <si>
    <t>Prof. Dr. Markus Kramer</t>
  </si>
  <si>
    <t>seit 28.02.2013</t>
  </si>
  <si>
    <t>Vertreter der Arbeitnehmer</t>
  </si>
  <si>
    <t>Jan Koltze
stellv. Vorsitzender des Aufsichtsrats</t>
  </si>
  <si>
    <t>seit 03.03.2011</t>
  </si>
  <si>
    <t>seit 03.05.2019</t>
  </si>
  <si>
    <r>
      <rPr>
        <b/>
        <sz val="16"/>
        <color rgb="FF000000"/>
        <rFont val="Arial"/>
        <family val="2"/>
      </rPr>
      <t>Im Geschäftsjahr 2023/24 gewährte und geschuldete Vergütung des Aufsichtsrats gemäß § 162 AktG</t>
    </r>
    <r>
      <rPr>
        <b/>
        <vertAlign val="superscript"/>
        <sz val="16"/>
        <color rgb="FF000000"/>
        <rFont val="Arial"/>
        <family val="2"/>
      </rPr>
      <t>1</t>
    </r>
  </si>
  <si>
    <t>Geschäftsjahr 2023/24</t>
  </si>
  <si>
    <r>
      <rPr>
        <sz val="12"/>
        <color rgb="FF000000"/>
        <rFont val="Arial"/>
        <family val="2"/>
      </rPr>
      <t>Prof. Dr. Markus Kramer</t>
    </r>
    <r>
      <rPr>
        <vertAlign val="superscript"/>
        <sz val="12"/>
        <color rgb="FF000000"/>
        <rFont val="Arial"/>
        <family val="2"/>
      </rPr>
      <t>2</t>
    </r>
  </si>
  <si>
    <r>
      <rPr>
        <b/>
        <sz val="12"/>
        <color rgb="FF0076A7"/>
        <rFont val="Arial"/>
        <family val="2"/>
      </rPr>
      <t xml:space="preserve">Vergütung 
</t>
    </r>
    <r>
      <rPr>
        <b/>
        <sz val="12"/>
        <color rgb="FF0076A7"/>
        <rFont val="Arial"/>
        <family val="2"/>
      </rPr>
      <t xml:space="preserve">2024/25
</t>
    </r>
    <r>
      <rPr>
        <b/>
        <sz val="12"/>
        <color rgb="FF0076A7"/>
        <rFont val="Arial"/>
        <family val="2"/>
      </rPr>
      <t>in €</t>
    </r>
  </si>
  <si>
    <r>
      <rPr>
        <sz val="12"/>
        <color rgb="FF1D1D1D"/>
        <rFont val="Arial"/>
        <family val="2"/>
      </rPr>
      <t xml:space="preserve">Veränderung 2024/25 
</t>
    </r>
    <r>
      <rPr>
        <sz val="12"/>
        <color rgb="FF1D1D1D"/>
        <rFont val="Arial"/>
        <family val="2"/>
      </rPr>
      <t xml:space="preserve">ggü. 2023/24
</t>
    </r>
    <r>
      <rPr>
        <sz val="12"/>
        <color rgb="FF1D1D1D"/>
        <rFont val="Arial"/>
        <family val="2"/>
      </rPr>
      <t>in %</t>
    </r>
  </si>
  <si>
    <r>
      <rPr>
        <sz val="12"/>
        <color rgb="FF1D1D1D"/>
        <rFont val="Arial"/>
        <family val="2"/>
      </rPr>
      <t xml:space="preserve">Veränderung 2023/24 
</t>
    </r>
    <r>
      <rPr>
        <sz val="12"/>
        <color rgb="FF1D1D1D"/>
        <rFont val="Arial"/>
        <family val="2"/>
      </rPr>
      <t xml:space="preserve">ggü. 2022/23
</t>
    </r>
    <r>
      <rPr>
        <sz val="12"/>
        <color rgb="FF1D1D1D"/>
        <rFont val="Arial"/>
        <family val="2"/>
      </rPr>
      <t>in %</t>
    </r>
  </si>
  <si>
    <r>
      <rPr>
        <sz val="12"/>
        <color rgb="FF1D1D1D"/>
        <rFont val="Arial"/>
        <family val="2"/>
      </rPr>
      <t xml:space="preserve">Veränderung 2022/23 
</t>
    </r>
    <r>
      <rPr>
        <sz val="12"/>
        <color rgb="FF1D1D1D"/>
        <rFont val="Arial"/>
        <family val="2"/>
      </rPr>
      <t xml:space="preserve">ggü. 2021/22
</t>
    </r>
    <r>
      <rPr>
        <sz val="12"/>
        <color rgb="FF1D1D1D"/>
        <rFont val="Arial"/>
        <family val="2"/>
      </rPr>
      <t>in %</t>
    </r>
  </si>
  <si>
    <r>
      <rPr>
        <sz val="12"/>
        <color rgb="FF1D1D1D"/>
        <rFont val="Arial"/>
        <family val="2"/>
      </rPr>
      <t xml:space="preserve">Veränderung 2021/22 
</t>
    </r>
    <r>
      <rPr>
        <sz val="12"/>
        <color rgb="FF1D1D1D"/>
        <rFont val="Arial"/>
        <family val="2"/>
      </rPr>
      <t xml:space="preserve">ggü. 2020/21
</t>
    </r>
    <r>
      <rPr>
        <sz val="12"/>
        <color rgb="FF1D1D1D"/>
        <rFont val="Arial"/>
        <family val="2"/>
      </rPr>
      <t>in %</t>
    </r>
  </si>
  <si>
    <t>Ertragsentwicklung</t>
  </si>
  <si>
    <t>Jahresüberschuss der Aurubis AG (HGB) in Mio. €</t>
  </si>
  <si>
    <t>Operative Earnings before Taxes (EBT) des Aurubis-Konzerns in Mio. €</t>
  </si>
  <si>
    <t>Arbeitnehmervergütung</t>
  </si>
  <si>
    <t>Durchschnittliche Vergütung der Arbeitnehmer der Gesellschaft</t>
  </si>
  <si>
    <t>Vorstandsmitglieder</t>
  </si>
  <si>
    <t>Im Geschäftsjahr 2024/25 aktive Vorstandsmitglieder</t>
  </si>
  <si>
    <r>
      <rPr>
        <sz val="12"/>
        <color rgb="FF000000"/>
        <rFont val="Arial"/>
        <family val="2"/>
      </rPr>
      <t>Dr. Toralf Haag seit 01.09.2024</t>
    </r>
    <r>
      <rPr>
        <vertAlign val="superscript"/>
        <sz val="12"/>
        <color rgb="FF000000"/>
        <rFont val="Arial"/>
        <family val="2"/>
      </rPr>
      <t>1</t>
    </r>
  </si>
  <si>
    <t>Steffen Alexander Hoffmann seit 01.10.2024</t>
  </si>
  <si>
    <t>Inge Hofkens seit 01.01.2023</t>
  </si>
  <si>
    <r>
      <rPr>
        <sz val="12"/>
        <color rgb="FF000000"/>
        <rFont val="Arial"/>
        <family val="2"/>
      </rPr>
      <t>Tim Kurth seit 01.09.2024</t>
    </r>
    <r>
      <rPr>
        <vertAlign val="superscript"/>
        <sz val="12"/>
        <color rgb="FF000000"/>
        <rFont val="Arial"/>
        <family val="2"/>
      </rPr>
      <t>1</t>
    </r>
  </si>
  <si>
    <t>Ehemalige Vorstandsmitglieder</t>
  </si>
  <si>
    <t>Roland Harings bis 30.09.2024</t>
  </si>
  <si>
    <t>Rainer Verhoeven bis 30.06.2024</t>
  </si>
  <si>
    <t>Dr. Heiko Arnold bis 30.04.2024</t>
  </si>
  <si>
    <t>Aufsichtsratsmitglieder</t>
  </si>
  <si>
    <t>Prof. Dr. Fritz Vahrenholt 
Vorsitzender des Aufsichtsrats seit 01.03.2018</t>
  </si>
  <si>
    <t>Kathrin Dahnke seit 16.02.2023</t>
  </si>
  <si>
    <t>Gunnar Groebler seit 01.10.2021</t>
  </si>
  <si>
    <r>
      <rPr>
        <sz val="12"/>
        <color rgb="FF000000"/>
        <rFont val="Arial"/>
        <family val="2"/>
      </rPr>
      <t>Prof. Dr. Markus Kramer seit 16.02.2023</t>
    </r>
    <r>
      <rPr>
        <vertAlign val="superscript"/>
        <sz val="12"/>
        <color rgb="FF000000"/>
        <rFont val="Arial"/>
        <family val="2"/>
      </rPr>
      <t>2</t>
    </r>
  </si>
  <si>
    <t>Dr. Stephan Krümmer seit 01.03.2018</t>
  </si>
  <si>
    <t>Dr. Sandra Reich seit 28.02.2013</t>
  </si>
  <si>
    <t>Jan Koltze 
stellv. Vorsitzender des Aufsichtsrats seit 03.03.2011</t>
  </si>
  <si>
    <t>Deniz Filiz Acar seit 03.05.2019</t>
  </si>
  <si>
    <t>Christian Ehrentraut seit 03.05.2019</t>
  </si>
  <si>
    <t>Dr. Elke Lossin seit 01.03.2018</t>
  </si>
  <si>
    <t>Daniel Mrosek seit 16.02.2023</t>
  </si>
  <si>
    <t>Stefan Schmidt seit 01.03.2018</t>
  </si>
  <si>
    <t>2022/23</t>
  </si>
  <si>
    <t>2021/22</t>
  </si>
  <si>
    <t>2020/21</t>
  </si>
  <si>
    <t>in €</t>
  </si>
  <si>
    <t>in Mio. €</t>
  </si>
  <si>
    <t>Anzahl der Aktien am Geschäftsjahresende</t>
  </si>
  <si>
    <t>in Tsd. Stück</t>
  </si>
  <si>
    <t>Dividende bzw. Dividendenvorschlag</t>
  </si>
  <si>
    <t>Ausschüttungsquote</t>
  </si>
  <si>
    <t>in %</t>
  </si>
  <si>
    <t>Dividendenrendite</t>
  </si>
  <si>
    <t>Ergebnis je Aktie operativ</t>
  </si>
  <si>
    <t>KGV am Geschäftsjahresende operativ</t>
  </si>
  <si>
    <t>Wertpapierkennnummer</t>
  </si>
  <si>
    <t>676650 </t>
  </si>
  <si>
    <t>International Securities Identification Number (ISIN)</t>
  </si>
  <si>
    <t>DE 000 67 66 504 </t>
  </si>
  <si>
    <t>Ausgegebene Stückaktien</t>
  </si>
  <si>
    <t>44.956.723 (ohne Nennwert)</t>
  </si>
  <si>
    <t>Von der Aurubis AG gehaltene Stückaktien</t>
  </si>
  <si>
    <t>1.297.693 (zum 30.09.2025)</t>
  </si>
  <si>
    <t>Börsensegment </t>
  </si>
  <si>
    <t>MDAX </t>
  </si>
  <si>
    <t>Handelsplätze</t>
  </si>
  <si>
    <t>regulierter Markt: Frankfurt am Main und Hamburg; Freiverkehr: Berlin, Düsseldorf, Hannover, München, Stuttgart, Tradegate</t>
  </si>
  <si>
    <t>Marktsegment </t>
  </si>
  <si>
    <t>Prime Standard </t>
  </si>
  <si>
    <t>Emissionskurs </t>
  </si>
  <si>
    <t>12,78 € </t>
  </si>
  <si>
    <t>Durchschnittlicher Umsatz pro Tag </t>
  </si>
  <si>
    <t>138.047 Aktien im Xetra-Handel </t>
  </si>
  <si>
    <t>Börsenkürzel </t>
  </si>
  <si>
    <t>NDA </t>
  </si>
  <si>
    <t>Reuters-Kürzel </t>
  </si>
  <si>
    <t>NAFG </t>
  </si>
  <si>
    <t>Bloomberg-Kürzel </t>
  </si>
  <si>
    <t>NDA_GR </t>
  </si>
  <si>
    <t>Baader Bank</t>
  </si>
  <si>
    <t>Christian Obst</t>
  </si>
  <si>
    <t>Bankhaus Metzler</t>
  </si>
  <si>
    <t>Thomas Schulte-Vorwick</t>
  </si>
  <si>
    <t>Bank of America</t>
  </si>
  <si>
    <t>Jason Fairclough</t>
  </si>
  <si>
    <t>Deutsche Bank </t>
  </si>
  <si>
    <t xml:space="preserve">Bastian Synagowitz </t>
  </si>
  <si>
    <t>DZ Bank</t>
  </si>
  <si>
    <t>Dirk Schlamp</t>
  </si>
  <si>
    <t>Exane BNP Paribas</t>
  </si>
  <si>
    <t>Alan Spence</t>
  </si>
  <si>
    <t>Kepler Cheuvreux</t>
  </si>
  <si>
    <t>Boris Bourdet</t>
  </si>
  <si>
    <t>LBBW</t>
  </si>
  <si>
    <t>Jens Münstermann</t>
  </si>
  <si>
    <t>M.M. Warburg</t>
  </si>
  <si>
    <t>Stefan Augustin</t>
  </si>
  <si>
    <t>Morgan Stanley</t>
  </si>
  <si>
    <t>Ioannis Masvoulas</t>
  </si>
  <si>
    <t>Oddo BHF</t>
  </si>
  <si>
    <t>Maxime Kogge</t>
  </si>
  <si>
    <t>UBS Europe</t>
  </si>
  <si>
    <t>Daniel Major</t>
  </si>
  <si>
    <t>Konsolidierte Standorte</t>
  </si>
  <si>
    <t>Europa</t>
  </si>
  <si>
    <t>DE</t>
  </si>
  <si>
    <t>Hamburg</t>
  </si>
  <si>
    <r>
      <rPr>
        <sz val="12"/>
        <color rgb="FF000000"/>
        <rFont val="Arial"/>
        <family val="2"/>
      </rPr>
      <t>Aurubis AG inkl. Konzern-Zentrale</t>
    </r>
  </si>
  <si>
    <t>Peute Baustoff GmbH</t>
  </si>
  <si>
    <t>Lünen</t>
  </si>
  <si>
    <t>Aurubis AG</t>
  </si>
  <si>
    <t>Stolberg</t>
  </si>
  <si>
    <t>Aurubis Stolberg GmbH &amp; Co. KG</t>
  </si>
  <si>
    <t>Emmerich</t>
  </si>
  <si>
    <t>Deutsche Giessdraht GmbH</t>
  </si>
  <si>
    <t>Röthenbach</t>
  </si>
  <si>
    <t>RETORTE GmbH Selenium Chemicals &amp; Metals</t>
  </si>
  <si>
    <t>BG</t>
  </si>
  <si>
    <t>Pirdop</t>
  </si>
  <si>
    <t>Aurubis Bulgaria AD</t>
  </si>
  <si>
    <t>BE</t>
  </si>
  <si>
    <t>Olen</t>
  </si>
  <si>
    <r>
      <rPr>
        <sz val="12"/>
        <color rgb="FF000000"/>
        <rFont val="Arial"/>
        <family val="2"/>
      </rPr>
      <t>Aurubis Olen NV</t>
    </r>
  </si>
  <si>
    <t>Beerse</t>
  </si>
  <si>
    <t>Aurubis Beerse NV</t>
  </si>
  <si>
    <t>FI</t>
  </si>
  <si>
    <t>Pori</t>
  </si>
  <si>
    <t>Aurubis Finland Oy</t>
  </si>
  <si>
    <t>IT</t>
  </si>
  <si>
    <t>Avellino</t>
  </si>
  <si>
    <t>Aurubis Italia Srl</t>
  </si>
  <si>
    <t>ES</t>
  </si>
  <si>
    <t>Berango</t>
  </si>
  <si>
    <t>Aurubis Berango S. L. U.</t>
  </si>
  <si>
    <r>
      <rPr>
        <sz val="12"/>
        <color rgb="FF000000"/>
        <rFont val="Arial"/>
        <family val="2"/>
      </rPr>
      <t>UK</t>
    </r>
  </si>
  <si>
    <r>
      <rPr>
        <sz val="12"/>
        <color rgb="FF000000"/>
        <rFont val="Arial"/>
        <family val="2"/>
      </rPr>
      <t>Edinburgh</t>
    </r>
    <r>
      <rPr>
        <vertAlign val="superscript"/>
        <sz val="12"/>
        <color rgb="FF000000"/>
        <rFont val="Arial"/>
        <family val="2"/>
      </rPr>
      <t>1</t>
    </r>
  </si>
  <si>
    <r>
      <rPr>
        <sz val="12"/>
        <color rgb="FF000000"/>
        <rFont val="Arial"/>
        <family val="2"/>
      </rPr>
      <t>Aurubis Beerse NV</t>
    </r>
  </si>
  <si>
    <t>FR</t>
  </si>
  <si>
    <t>Metz</t>
  </si>
  <si>
    <r>
      <rPr>
        <sz val="12"/>
        <color rgb="FF000000"/>
        <rFont val="Arial"/>
        <family val="2"/>
      </rPr>
      <t>CZ</t>
    </r>
  </si>
  <si>
    <r>
      <rPr>
        <sz val="12"/>
        <color rgb="FF000000"/>
        <rFont val="Arial"/>
        <family val="2"/>
      </rPr>
      <t>Prag</t>
    </r>
  </si>
  <si>
    <r>
      <rPr>
        <sz val="12"/>
        <color rgb="FF000000"/>
        <rFont val="Arial"/>
        <family val="2"/>
      </rPr>
      <t>Aurubis Stolberg GmbH &amp; Co. KG</t>
    </r>
  </si>
  <si>
    <r>
      <rPr>
        <sz val="12"/>
        <color rgb="FF000000"/>
        <rFont val="Arial"/>
        <family val="2"/>
      </rPr>
      <t>NL</t>
    </r>
  </si>
  <si>
    <r>
      <rPr>
        <sz val="12"/>
        <color rgb="FF000000"/>
        <rFont val="Arial"/>
        <family val="2"/>
      </rPr>
      <t>Groenlo</t>
    </r>
  </si>
  <si>
    <t>Mitarbeiter Europa</t>
  </si>
  <si>
    <t>USA</t>
  </si>
  <si>
    <t>Augusta</t>
  </si>
  <si>
    <t>Aurubis Richmond LLP</t>
  </si>
  <si>
    <t>Mitarbeiter USA</t>
  </si>
  <si>
    <t>Mitarbeiter gesamt</t>
  </si>
  <si>
    <t>Nicht konsolidierte Standorte und selbständige Vertriebsmitarbeiter</t>
  </si>
  <si>
    <t>Berlin</t>
  </si>
  <si>
    <t>azeti GmbH</t>
  </si>
  <si>
    <t>SE</t>
  </si>
  <si>
    <r>
      <rPr>
        <sz val="12"/>
        <color rgb="FF000000"/>
        <rFont val="Arial"/>
        <family val="2"/>
      </rPr>
      <t>Västerås</t>
    </r>
    <r>
      <rPr>
        <vertAlign val="superscript"/>
        <sz val="12"/>
        <color rgb="FF000000"/>
        <rFont val="Arial"/>
        <family val="2"/>
      </rPr>
      <t>1</t>
    </r>
  </si>
  <si>
    <t>Aurubis Holding Sweden AB</t>
  </si>
  <si>
    <t>TR</t>
  </si>
  <si>
    <t>Istanbul</t>
  </si>
  <si>
    <t>Aurubis Turkey Kimya Anonim Sirketi</t>
  </si>
  <si>
    <t>Asien</t>
  </si>
  <si>
    <t>CN</t>
  </si>
  <si>
    <r>
      <rPr>
        <sz val="12"/>
        <color rgb="FF000000"/>
        <rFont val="Arial"/>
        <family val="2"/>
      </rPr>
      <t>Peking</t>
    </r>
    <r>
      <rPr>
        <vertAlign val="superscript"/>
        <sz val="12"/>
        <color rgb="FF000000"/>
        <rFont val="Arial"/>
        <family val="2"/>
      </rPr>
      <t>1</t>
    </r>
  </si>
  <si>
    <t>Shanghai</t>
  </si>
  <si>
    <t>Aurubis Metal Products (Shanghai) Co., Ltd.</t>
  </si>
  <si>
    <t>JP</t>
  </si>
  <si>
    <r>
      <rPr>
        <sz val="12"/>
        <color rgb="FF000000"/>
        <rFont val="Arial"/>
        <family val="2"/>
      </rPr>
      <t>Tokio</t>
    </r>
    <r>
      <rPr>
        <vertAlign val="superscript"/>
        <sz val="12"/>
        <color rgb="FF000000"/>
        <rFont val="Arial"/>
        <family val="2"/>
      </rPr>
      <t>1</t>
    </r>
  </si>
  <si>
    <t>KR</t>
  </si>
  <si>
    <r>
      <rPr>
        <sz val="12"/>
        <color rgb="FF000000"/>
        <rFont val="Arial"/>
        <family val="2"/>
      </rPr>
      <t>Seoul</t>
    </r>
    <r>
      <rPr>
        <vertAlign val="superscript"/>
        <sz val="12"/>
        <color rgb="FF000000"/>
        <rFont val="Arial"/>
        <family val="2"/>
      </rPr>
      <t>1</t>
    </r>
  </si>
  <si>
    <r>
      <rPr>
        <sz val="12"/>
        <color rgb="FF000000"/>
        <rFont val="Arial"/>
        <family val="2"/>
      </rPr>
      <t>UAE</t>
    </r>
  </si>
  <si>
    <r>
      <rPr>
        <sz val="12"/>
        <color rgb="FF000000"/>
        <rFont val="Arial"/>
        <family val="2"/>
      </rPr>
      <t>Dubai</t>
    </r>
  </si>
  <si>
    <r>
      <rPr>
        <sz val="12"/>
        <color rgb="FF000000"/>
        <rFont val="Arial"/>
        <family val="2"/>
      </rPr>
      <t>Aurubis Middle East DMCC</t>
    </r>
  </si>
  <si>
    <t>Mitarbeiter Asien</t>
  </si>
  <si>
    <t>Rohstoffe</t>
  </si>
  <si>
    <r>
      <rPr>
        <sz val="12"/>
        <color rgb="FF1D1D1D"/>
        <rFont val="Arial"/>
        <family val="2"/>
      </rPr>
      <t>Konzentrate und Recyclingmaterialien sind die Rohstoffe, aus denen Metalle erzeugt werden.</t>
    </r>
  </si>
  <si>
    <t>Konzentrate</t>
  </si>
  <si>
    <t>Recyclingmaterialien</t>
  </si>
  <si>
    <t>Ein internationales Vertriebsnetzwerk sorgt für die Vermarktung unserer Produkte.</t>
  </si>
  <si>
    <t>Produkte</t>
  </si>
  <si>
    <t>Das Kupfer wird zu Produkten weiterverarbeitet. Einige Produkte gehen bereits aus der Kupfererzeugung hervor.</t>
  </si>
  <si>
    <t>Kathoden</t>
  </si>
  <si>
    <t>Gießwalzdraht</t>
  </si>
  <si>
    <t>Stranggussformate</t>
  </si>
  <si>
    <t>Spezialprofile</t>
  </si>
  <si>
    <t>Edelmetalle</t>
  </si>
  <si>
    <t>Nebenmetalle</t>
  </si>
  <si>
    <t>Schwefelsäure</t>
  </si>
  <si>
    <t>Eisensilikat</t>
  </si>
  <si>
    <t>Bänder/Folien</t>
  </si>
  <si>
    <t>Spezialdraht</t>
  </si>
  <si>
    <t>Synthetische Mineralien</t>
  </si>
  <si>
    <t>in Mio. €</t>
  </si>
  <si>
    <t>30.09.2025</t>
  </si>
  <si>
    <t>30.09.2024</t>
  </si>
  <si>
    <t>Anlagevermögen ohne Finanzanlagen</t>
  </si>
  <si>
    <t>Vorräte</t>
  </si>
  <si>
    <t>Forderungen aus Lieferungen und Leistungen</t>
  </si>
  <si>
    <t>Sonstige Forderungen und Vermögensgegenstände</t>
  </si>
  <si>
    <r>
      <rPr>
        <sz val="12"/>
        <color rgb="FF000000"/>
        <rFont val="Arial"/>
        <family val="2"/>
      </rPr>
      <t>Verbindlichkeiten aus Lieferungen und Leistungen</t>
    </r>
  </si>
  <si>
    <r>
      <rPr>
        <sz val="12"/>
        <color rgb="FF000000"/>
        <rFont val="Arial"/>
        <family val="2"/>
      </rPr>
      <t>Rückstellungen und sonstige Verbindlichkeiten</t>
    </r>
  </si>
  <si>
    <t>Eingesetztes Kapital (Capital Employed) zum Stichtag – operativ</t>
  </si>
  <si>
    <t>Ergebnis vor Ertragsteuern (EBT)</t>
  </si>
  <si>
    <t>Finanzergebnis</t>
  </si>
  <si>
    <t>Ergebnis vor Ertragsteuern und Zinsen (EBIT) – operativ</t>
  </si>
  <si>
    <t>Beteiligungsergebnis At Equity</t>
  </si>
  <si>
    <t>Ergebnis vor Ertragsteuern und Zinsen (EBIT) – adjusted</t>
  </si>
  <si>
    <t>Rendite auf das eingesetzte Kapital (operativer ROCE)</t>
  </si>
  <si>
    <r>
      <rPr>
        <sz val="12"/>
        <color rgb="FF000000"/>
        <rFont val="Arial"/>
        <family val="2"/>
      </rPr>
      <t>Absolute Anzahl der Unfälle (LTI)</t>
    </r>
    <r>
      <rPr>
        <vertAlign val="superscript"/>
        <sz val="12"/>
        <color rgb="FF000000"/>
        <rFont val="Arial"/>
        <family val="2"/>
      </rPr>
      <t>1,2</t>
    </r>
    <r>
      <rPr>
        <sz val="12"/>
        <color rgb="FF000000"/>
        <rFont val="Arial"/>
        <family val="2"/>
      </rPr>
      <t xml:space="preserve"> </t>
    </r>
  </si>
  <si>
    <r>
      <rPr>
        <sz val="12"/>
        <color rgb="FF000000"/>
        <rFont val="Arial"/>
        <family val="2"/>
      </rPr>
      <t>Davon tödliche Unfälle</t>
    </r>
  </si>
  <si>
    <r>
      <rPr>
        <sz val="12"/>
        <color rgb="FF000000"/>
        <rFont val="Arial"/>
        <family val="2"/>
      </rPr>
      <t>LTIFR</t>
    </r>
    <r>
      <rPr>
        <vertAlign val="superscript"/>
        <sz val="12"/>
        <color rgb="FF000000"/>
        <rFont val="Arial"/>
        <family val="2"/>
      </rPr>
      <t>2</t>
    </r>
  </si>
  <si>
    <t>12 Monate 2024/25</t>
  </si>
  <si>
    <t>12 Monate 2023/24</t>
  </si>
  <si>
    <t>IFRS</t>
  </si>
  <si>
    <t>Bereinigungs-effekte</t>
  </si>
  <si>
    <t>Operativ</t>
  </si>
  <si>
    <t>Umsatzerlöse</t>
  </si>
  <si>
    <t>Veränderung des Bestands an fertigen und unfertigen Erzeugnissen</t>
  </si>
  <si>
    <t>Andere aktivierte Eigenleistungen</t>
  </si>
  <si>
    <t>Sonstige betriebliche Erträge</t>
  </si>
  <si>
    <t>Materialaufwand</t>
  </si>
  <si>
    <t>Rohergebnis</t>
  </si>
  <si>
    <t>Personalaufwand</t>
  </si>
  <si>
    <t>Abschreibungen auf immaterielle Vermögenswerte und Sachanlagen</t>
  </si>
  <si>
    <t>Sonstige betriebliche Aufwendungen</t>
  </si>
  <si>
    <t>Betriebsergebnis (EBIT)</t>
  </si>
  <si>
    <t>Ergebnis aus At Equity bewerteten Anteilen</t>
  </si>
  <si>
    <t>Zinserträge</t>
  </si>
  <si>
    <t>Zinsaufwendungen</t>
  </si>
  <si>
    <t>Übrige finanzielle Erträge</t>
  </si>
  <si>
    <t>Übrige finanzielle Aufwendungen</t>
  </si>
  <si>
    <t>Steuern vom Einkommen und vom Ertrag</t>
  </si>
  <si>
    <t>Konzernergebnis</t>
  </si>
  <si>
    <t>Inland</t>
  </si>
  <si>
    <t>Übrige Europäische Union</t>
  </si>
  <si>
    <t>Übriges Europa</t>
  </si>
  <si>
    <t>Sonstige</t>
  </si>
  <si>
    <t>Konzern gesamt</t>
  </si>
  <si>
    <t>Langfristige Verbindlichkeiten gegenüber Kreditinstituten</t>
  </si>
  <si>
    <t>Langfristige Verbindlichkeiten aus Leasing</t>
  </si>
  <si>
    <t>Langfristige Finanzverbindlichkeiten</t>
  </si>
  <si>
    <t>Kurzfristige Verbindlichkeiten gegenüber Kreditinstituten</t>
  </si>
  <si>
    <t>Kurzfristige Verbindlichkeiten aus Leasing</t>
  </si>
  <si>
    <t>Kurzfristige Finanzverbindlichkeiten</t>
  </si>
  <si>
    <t>Finanzverbindlichkeiten</t>
  </si>
  <si>
    <t>Anlagevermögen</t>
  </si>
  <si>
    <t>Forderungen etc. (inkl. latente Steuern)</t>
  </si>
  <si>
    <t>Zahlungsmittel und Zahlungsmitteläquivalente</t>
  </si>
  <si>
    <t>Aktiva</t>
  </si>
  <si>
    <t>Eigenkapital</t>
  </si>
  <si>
    <t>Rückstellungen (inkl. latente Steuern)</t>
  </si>
  <si>
    <t>Verbindlichkeiten</t>
  </si>
  <si>
    <t>Passiva</t>
  </si>
  <si>
    <t>Latente Steuern</t>
  </si>
  <si>
    <t>Langfristige Forderungen und sonstige Vermögenswerte</t>
  </si>
  <si>
    <t>Kurzfristige Forderungen und sonstige Vermögenswerte</t>
  </si>
  <si>
    <t>Summe Aktiva</t>
  </si>
  <si>
    <t>Langfristige Rückstellungen</t>
  </si>
  <si>
    <t>Langfristige Verbindlichkeiten</t>
  </si>
  <si>
    <t>Kurzfristige Rückstellungen</t>
  </si>
  <si>
    <t>Kurzfristige Verbindlichkeiten</t>
  </si>
  <si>
    <t>Summe Passiva</t>
  </si>
  <si>
    <t>Schuldendeckung = Netto-Finanzposition¹/EBITDA</t>
  </si>
  <si>
    <r>
      <rPr>
        <b/>
        <sz val="16"/>
        <color rgb="FF000000"/>
        <rFont val="Arial"/>
        <family val="2"/>
      </rPr>
      <t>Kapitalflussrechnung im Konzern</t>
    </r>
  </si>
  <si>
    <t>12 Monate
2024/25</t>
  </si>
  <si>
    <t>12 Monate
2023/24</t>
  </si>
  <si>
    <t>Cashflow aus betrieblicher Geschäftstätigkeit (Netto-Cashflow)</t>
  </si>
  <si>
    <t>Cashflow aus Investitionstätigkeit</t>
  </si>
  <si>
    <t>Zinsauszahlung</t>
  </si>
  <si>
    <t>Dividendenzahlung</t>
  </si>
  <si>
    <t>Free Cashflow</t>
  </si>
  <si>
    <t>Aus-/Einzahlungen aus Finanzverbindlichkeiten (netto)</t>
  </si>
  <si>
    <t>Veränderung der Zahlungsmittel</t>
  </si>
  <si>
    <t>Zahlungsmittel zum Stichtag</t>
  </si>
  <si>
    <t>Netto-Finanzposition</t>
  </si>
  <si>
    <t>2024/25
operativ</t>
  </si>
  <si>
    <t>2023/24
operativ</t>
  </si>
  <si>
    <t>Gesamtumsätze</t>
  </si>
  <si>
    <t>Operatives EBITDA</t>
  </si>
  <si>
    <t>Abschreibungen</t>
  </si>
  <si>
    <t>Operatives EBIT</t>
  </si>
  <si>
    <t>Investitionen</t>
  </si>
  <si>
    <t>Capital Employed</t>
  </si>
  <si>
    <t>Mitarbeiterzahl (Durchschnitt)</t>
  </si>
  <si>
    <r>
      <rPr>
        <sz val="12"/>
        <color rgb="FF000000"/>
        <rFont val="Arial"/>
        <family val="2"/>
      </rPr>
      <t>Operatives EBT</t>
    </r>
    <r>
      <rPr>
        <vertAlign val="superscript"/>
        <sz val="12"/>
        <color rgb="FF000000"/>
        <rFont val="Arial"/>
        <family val="2"/>
      </rPr>
      <t>1</t>
    </r>
  </si>
  <si>
    <t>Gold</t>
  </si>
  <si>
    <t>t</t>
  </si>
  <si>
    <t>Silber</t>
  </si>
  <si>
    <t>Blei</t>
  </si>
  <si>
    <t>Nickel</t>
  </si>
  <si>
    <t>Zinn</t>
  </si>
  <si>
    <t>Zink</t>
  </si>
  <si>
    <t>Platingruppe (PGM)</t>
  </si>
  <si>
    <t>kg</t>
  </si>
  <si>
    <t>Bestandsveränderungen/aktivierte Eigenleistungen</t>
  </si>
  <si>
    <t>Rohertrag</t>
  </si>
  <si>
    <t>Abschreibungen auf­immaterielle­Vermögensgegenstände und Sachanlagen</t>
  </si>
  <si>
    <t>Ergebnis der gewöhnlichen Geschäftstätigkeit (EBT)</t>
  </si>
  <si>
    <t>Steuern</t>
  </si>
  <si>
    <t>Jahresüberschuss</t>
  </si>
  <si>
    <t>Forderungen etc.</t>
  </si>
  <si>
    <t>Flüssige Mittel</t>
  </si>
  <si>
    <t>Rückstellungen</t>
  </si>
  <si>
    <t>&gt;1</t>
  </si>
  <si>
    <t>&gt;5</t>
  </si>
  <si>
    <t>&gt;20</t>
  </si>
  <si>
    <t>&gt;50</t>
  </si>
  <si>
    <t>Wahrscheinlichkeit</t>
  </si>
  <si>
    <t>hoch</t>
  </si>
  <si>
    <t>mittel</t>
  </si>
  <si>
    <t>gering</t>
  </si>
  <si>
    <t>unwahrscheinlich</t>
  </si>
  <si>
    <t>Wirtschaftstätigkeiten</t>
  </si>
  <si>
    <t>EUT-Umsatz</t>
  </si>
  <si>
    <t>EUT-CapEx</t>
  </si>
  <si>
    <t>EUT-OpEx</t>
  </si>
  <si>
    <t>in T€</t>
  </si>
  <si>
    <t>A Taxonomiefähige Tätigkeiten</t>
  </si>
  <si>
    <t>A.1 Ökologisch nachhaltige Tätigkeiten (taxonomiekonform)</t>
  </si>
  <si>
    <t>KPI ökologisch nachhaltiger Tätigkeiten (taxonomiekonform) (A.1)</t>
  </si>
  <si>
    <t>A.2 Taxonomiefähige, aber nicht ökologisch nachhaltige Tätigkeiten (nicht taxonomiekonforme Tätigkeiten)</t>
  </si>
  <si>
    <t>KPI taxonomiefähiger, aber nicht ökologisch nachhaltiger Tätigkeiten (nicht taxonomiekonforme Tätigkeiten) (A.2)</t>
  </si>
  <si>
    <t>Total (A.1 + A.2)</t>
  </si>
  <si>
    <t>B Nicht taxonomiefähige Tätigkeiten</t>
  </si>
  <si>
    <t>KPI nicht taxonomiefähiger Tätigkeiten (B)</t>
  </si>
  <si>
    <t>Gesamt (A + B)</t>
  </si>
  <si>
    <r>
      <rPr>
        <b/>
        <sz val="16"/>
        <color rgb="FF000000"/>
        <rFont val="Arial"/>
        <family val="2"/>
      </rPr>
      <t>Energieverbrauch und -mix</t>
    </r>
  </si>
  <si>
    <t>Energieverbrauch aus nicht erneuerbaren Quellen</t>
  </si>
  <si>
    <t>Einheit</t>
  </si>
  <si>
    <t>(1) Brennstoffverbrauch aus Kohle und Kohleerzeugnissen</t>
  </si>
  <si>
    <t>MWh</t>
  </si>
  <si>
    <t>(2) Brennstoffverbrauch aus Rohöl und Erdölerzeugnissen</t>
  </si>
  <si>
    <t>(3) Brennstoffverbrauch aus Erdgas</t>
  </si>
  <si>
    <t>(4) Brennstoffverbrauch aus sonstigen fossilen Quellen</t>
  </si>
  <si>
    <t>(5) Verbrauch aus erworbener oder erhaltener Elektrizität, Wärme, Dampf oder Kühlung aus fossilen Quellen</t>
  </si>
  <si>
    <t>(6) Gesamtverbrauch fossiler Energie (Summe der Zeilen 1 bis 5)</t>
  </si>
  <si>
    <t>Anteil fossiler Quellen am Gesamtenergieverbrauch</t>
  </si>
  <si>
    <t>%</t>
  </si>
  <si>
    <t>(7) Anteil nuklearer Quellen</t>
  </si>
  <si>
    <t>Anteil des Verbrauchs aus nuklearen Quellen am Gesamtenergieverbrauch</t>
  </si>
  <si>
    <t xml:space="preserve">Energieverbrauch aus erneuerbaren Quellen </t>
  </si>
  <si>
    <r>
      <rPr>
        <sz val="12"/>
        <color rgb="FF1D1D1D"/>
        <rFont val="Arial"/>
        <family val="2"/>
      </rPr>
      <t>(8) Brennstoffverbrauch für erneuerbare Quellen</t>
    </r>
    <r>
      <rPr>
        <vertAlign val="superscript"/>
        <sz val="12"/>
        <color rgb="FF1D1D1D"/>
        <rFont val="Arial"/>
        <family val="2"/>
      </rPr>
      <t>1</t>
    </r>
  </si>
  <si>
    <t>(9) Verbrauch aus erworbener und erhaltener Elektrizität, Wärme, Dampf und Kühlung aus erneuerbaren Quellen</t>
  </si>
  <si>
    <t>(10) Der Verbrauch selbst erzeugter erneuerbarer Energie, bei der es sich nicht um Brennstoff handelt</t>
  </si>
  <si>
    <t>(11) Gesamtverbrauch erneuerbarer Energie (Summe der Zeilen 8 bis 10)</t>
  </si>
  <si>
    <t>Anteil erneuerbarer Quellen am Gesamtenergieverbrauch</t>
  </si>
  <si>
    <t>Gesamtenergieverbrauch (Summe der Zeilen 6, 7 und 11)</t>
  </si>
  <si>
    <t>in MWh pro Mio. €</t>
  </si>
  <si>
    <t>Gesamtenergieverbrauch pro Nettoumsatzerlös</t>
  </si>
  <si>
    <r>
      <rPr>
        <b/>
        <sz val="16"/>
        <color rgb="FF000000"/>
        <rFont val="Arial"/>
        <family val="2"/>
      </rPr>
      <t>Erzeugung erneuerbarer und nicht erneuerbarer Energie</t>
    </r>
  </si>
  <si>
    <t>in MWh</t>
  </si>
  <si>
    <t>Erzeugung nicht erneuerbarer Energien</t>
  </si>
  <si>
    <t>Erzeugung erneuerbarer Energien</t>
  </si>
  <si>
    <t>Rückblickend</t>
  </si>
  <si>
    <t>Etappenziele und Zieljahre (Kalenderjahre)</t>
  </si>
  <si>
    <t>Basisjahr</t>
  </si>
  <si>
    <t>2025</t>
  </si>
  <si>
    <t>2030</t>
  </si>
  <si>
    <t>2050</t>
  </si>
  <si>
    <t>Jährlich % des Ziels/ Basisjahr</t>
  </si>
  <si>
    <r>
      <rPr>
        <b/>
        <sz val="12"/>
        <color rgb="FF000000"/>
        <rFont val="Arial"/>
        <family val="2"/>
      </rPr>
      <t>Scope-1-Treibhausgasemissionen</t>
    </r>
  </si>
  <si>
    <r>
      <rPr>
        <sz val="12"/>
        <color rgb="FF000000"/>
        <rFont val="Arial"/>
        <family val="2"/>
      </rPr>
      <t>Scope-1-THG-Bruttoemissionen</t>
    </r>
  </si>
  <si>
    <r>
      <rPr>
        <sz val="12"/>
        <color rgb="FF000000"/>
        <rFont val="Arial"/>
        <family val="2"/>
      </rPr>
      <t>1.000 t CO</t>
    </r>
    <r>
      <rPr>
        <vertAlign val="subscript"/>
        <sz val="12"/>
        <color rgb="FF000000"/>
        <rFont val="Arial"/>
        <family val="2"/>
      </rPr>
      <t>2</t>
    </r>
    <r>
      <rPr>
        <sz val="12"/>
        <color rgb="FF000000"/>
        <rFont val="Arial"/>
        <family val="2"/>
      </rPr>
      <t>e</t>
    </r>
  </si>
  <si>
    <t>-</t>
  </si>
  <si>
    <t>Prozentsatz Scope-1-THG-Emissionen aus regulierten Emissionshandelssystemen</t>
  </si>
  <si>
    <r>
      <rPr>
        <b/>
        <sz val="12"/>
        <color rgb="FF000000"/>
        <rFont val="Arial"/>
        <family val="2"/>
      </rPr>
      <t>Scope-2-Treibhausgasemissionen</t>
    </r>
  </si>
  <si>
    <t xml:space="preserve">Standortbezogene Scope-2-THG-Bruttoemissionen </t>
  </si>
  <si>
    <t>Marktbezogene Scope-2-THG-Bruttoemissionen</t>
  </si>
  <si>
    <r>
      <rPr>
        <b/>
        <sz val="12"/>
        <color rgb="FF000000"/>
        <rFont val="Arial"/>
        <family val="2"/>
      </rPr>
      <t>Absolute Scope-1- und Scope-2-Emissionen (Summe)</t>
    </r>
    <r>
      <rPr>
        <b/>
        <vertAlign val="superscript"/>
        <sz val="12"/>
        <color rgb="FF000000"/>
        <rFont val="Arial"/>
        <family val="2"/>
      </rPr>
      <t>1</t>
    </r>
  </si>
  <si>
    <t>1000 t CO2e</t>
  </si>
  <si>
    <r>
      <rPr>
        <b/>
        <sz val="12"/>
        <color rgb="FF000000"/>
        <rFont val="Arial"/>
        <family val="2"/>
      </rPr>
      <t>Signifikante Scope-3-Treibhausgasemissionen</t>
    </r>
  </si>
  <si>
    <t>Gesamte indirekte (Scope-3-)THG-Bruttoemissionen</t>
  </si>
  <si>
    <r>
      <rPr>
        <sz val="12"/>
        <color rgb="FF000000"/>
        <rFont val="Arial"/>
        <family val="2"/>
      </rPr>
      <t>1. Erworbene Waren und Dienstleistungen</t>
    </r>
  </si>
  <si>
    <t>2 Investitionsgüter</t>
  </si>
  <si>
    <r>
      <rPr>
        <sz val="12"/>
        <color rgb="FF000000"/>
        <rFont val="Arial"/>
        <family val="2"/>
      </rPr>
      <t>3 Tätigkeiten im Zusammenhang mit Brennstoffen und Energie</t>
    </r>
    <r>
      <rPr>
        <vertAlign val="superscript"/>
        <sz val="12"/>
        <color rgb="FF000000"/>
        <rFont val="Arial"/>
        <family val="2"/>
      </rPr>
      <t>1</t>
    </r>
  </si>
  <si>
    <r>
      <rPr>
        <sz val="12"/>
        <color rgb="FF000000"/>
        <rFont val="Arial"/>
        <family val="2"/>
      </rPr>
      <t>4 Vorgelagerter Transport und Vertrieb</t>
    </r>
  </si>
  <si>
    <r>
      <rPr>
        <sz val="12"/>
        <color rgb="FF000000"/>
        <rFont val="Arial"/>
        <family val="2"/>
      </rPr>
      <t>5 Abfallaufkommen in Betrieben</t>
    </r>
  </si>
  <si>
    <t>6 Geschäftsreisen</t>
  </si>
  <si>
    <r>
      <rPr>
        <sz val="12"/>
        <color rgb="FF000000"/>
        <rFont val="Arial"/>
        <family val="2"/>
      </rPr>
      <t>7 Pendelnde Arbeitnehmer</t>
    </r>
  </si>
  <si>
    <r>
      <rPr>
        <sz val="12"/>
        <color rgb="FF000000"/>
        <rFont val="Arial"/>
        <family val="2"/>
      </rPr>
      <t>9 Nachgelagerter Transport</t>
    </r>
  </si>
  <si>
    <t>15 Investitionen</t>
  </si>
  <si>
    <r>
      <rPr>
        <b/>
        <sz val="12"/>
        <color rgb="FF000000"/>
        <rFont val="Arial"/>
        <family val="2"/>
      </rPr>
      <t>Relative Scope-3-Emissionen pro Tonne Kupferkathode</t>
    </r>
    <r>
      <rPr>
        <b/>
        <vertAlign val="superscript"/>
        <sz val="12"/>
        <color rgb="FF000000"/>
        <rFont val="Arial"/>
        <family val="2"/>
      </rPr>
      <t>2</t>
    </r>
  </si>
  <si>
    <r>
      <rPr>
        <sz val="12"/>
        <color rgb="FF000000"/>
        <rFont val="Arial"/>
        <family val="2"/>
      </rPr>
      <t>CO</t>
    </r>
    <r>
      <rPr>
        <vertAlign val="subscript"/>
        <sz val="12"/>
        <color rgb="FF000000"/>
        <rFont val="Arial"/>
        <family val="2"/>
      </rPr>
      <t>2</t>
    </r>
    <r>
      <rPr>
        <sz val="12"/>
        <color rgb="FF000000"/>
        <rFont val="Arial"/>
        <family val="2"/>
      </rPr>
      <t>/Kupferkathode</t>
    </r>
  </si>
  <si>
    <r>
      <rPr>
        <b/>
        <sz val="12"/>
        <color rgb="FF000000"/>
        <rFont val="Arial"/>
        <family val="2"/>
      </rPr>
      <t>THG-Emissionen insgesamt</t>
    </r>
  </si>
  <si>
    <r>
      <rPr>
        <b/>
        <sz val="12"/>
        <color rgb="FF000000"/>
        <rFont val="Arial"/>
        <family val="2"/>
      </rPr>
      <t>THG-Emissionen insgesamt (standortbezogen)</t>
    </r>
  </si>
  <si>
    <r>
      <rPr>
        <b/>
        <sz val="12"/>
        <color rgb="FF000000"/>
        <rFont val="Arial"/>
        <family val="2"/>
      </rPr>
      <t xml:space="preserve">THG-Emissionen insgesamt (marktbezogen) </t>
    </r>
  </si>
  <si>
    <r>
      <rPr>
        <b/>
        <sz val="12"/>
        <color rgb="FF000000"/>
        <rFont val="Arial"/>
        <family val="2"/>
      </rPr>
      <t>THG-Intensität pro Nettoumsatzerlösen</t>
    </r>
    <r>
      <rPr>
        <b/>
        <vertAlign val="superscript"/>
        <sz val="12"/>
        <color rgb="FF000000"/>
        <rFont val="Arial"/>
        <family val="2"/>
      </rPr>
      <t>3</t>
    </r>
  </si>
  <si>
    <t>THG-Gesamtemissionen (standortbezogen) pro Nettoumsatzerlösen</t>
  </si>
  <si>
    <r>
      <rPr>
        <sz val="12"/>
        <color rgb="FF000000"/>
        <rFont val="Arial"/>
        <family val="2"/>
      </rPr>
      <t>t CO</t>
    </r>
    <r>
      <rPr>
        <vertAlign val="subscript"/>
        <sz val="12"/>
        <color rgb="FF000000"/>
        <rFont val="Arial"/>
        <family val="2"/>
      </rPr>
      <t>2</t>
    </r>
    <r>
      <rPr>
        <sz val="12"/>
        <color rgb="FF000000"/>
        <rFont val="Arial"/>
        <family val="2"/>
      </rPr>
      <t>e/€</t>
    </r>
  </si>
  <si>
    <t>THG-Gesamtemissionen (marktbasiert) pro Nettoumsatzerlösen</t>
  </si>
  <si>
    <t>in kg</t>
  </si>
  <si>
    <r>
      <rPr>
        <sz val="12"/>
        <color rgb="FF1D1D1D"/>
        <rFont val="Arial"/>
        <family val="2"/>
      </rPr>
      <t>SO</t>
    </r>
    <r>
      <rPr>
        <vertAlign val="subscript"/>
        <sz val="12"/>
        <color rgb="FF1D1D1D"/>
        <rFont val="Arial"/>
        <family val="2"/>
      </rPr>
      <t>X</t>
    </r>
  </si>
  <si>
    <t>CO</t>
  </si>
  <si>
    <r>
      <rPr>
        <sz val="12"/>
        <color rgb="FF1D1D1D"/>
        <rFont val="Arial"/>
        <family val="2"/>
      </rPr>
      <t>NO</t>
    </r>
    <r>
      <rPr>
        <vertAlign val="subscript"/>
        <sz val="12"/>
        <color rgb="FF1D1D1D"/>
        <rFont val="Arial"/>
        <family val="2"/>
      </rPr>
      <t>X</t>
    </r>
  </si>
  <si>
    <t>Benzol</t>
  </si>
  <si>
    <t>Hg</t>
  </si>
  <si>
    <t>Zn</t>
  </si>
  <si>
    <t>Pb</t>
  </si>
  <si>
    <t>Cu</t>
  </si>
  <si>
    <t>Cd</t>
  </si>
  <si>
    <t>As</t>
  </si>
  <si>
    <t>Ni</t>
  </si>
  <si>
    <r>
      <rPr>
        <b/>
        <sz val="16"/>
        <color rgb="FF000000"/>
        <rFont val="Arial"/>
        <family val="2"/>
      </rPr>
      <t>Zuordnung der Ressourcenzuflüsse</t>
    </r>
    <r>
      <rPr>
        <b/>
        <vertAlign val="superscript"/>
        <sz val="16"/>
        <color rgb="FF000000"/>
        <rFont val="Arial"/>
        <family val="2"/>
      </rPr>
      <t>1</t>
    </r>
  </si>
  <si>
    <t>Gesamtgewicht der metallhaltigen Zuflüsse (Durchsatz, in dmt)</t>
  </si>
  <si>
    <t>Primär</t>
  </si>
  <si>
    <t>Sekundär</t>
  </si>
  <si>
    <r>
      <rPr>
        <sz val="12"/>
        <color rgb="FF1D1D1D"/>
        <rFont val="Arial"/>
        <family val="2"/>
      </rPr>
      <t>Produkte</t>
    </r>
  </si>
  <si>
    <t>Kupferkathoden</t>
  </si>
  <si>
    <t>Aurubis ROD (Gießwalzdraht)</t>
  </si>
  <si>
    <t>Aurubis FOXROD (sauerstofffreier Kupferdraht)</t>
  </si>
  <si>
    <t>Aurubis SHAPES (Stranggussformate)</t>
  </si>
  <si>
    <t>Aurubis BARS &amp; PROFILES (Stangen &amp; Profile)</t>
  </si>
  <si>
    <t>Nickel aus Nickelsulfat</t>
  </si>
  <si>
    <r>
      <rPr>
        <sz val="12"/>
        <color rgb="FF1D1D1D"/>
        <rFont val="Arial"/>
        <family val="2"/>
      </rPr>
      <t xml:space="preserve">Platingruppe (PGM) </t>
    </r>
    <r>
      <rPr>
        <sz val="12"/>
        <color rgb="FF3391B9"/>
        <rFont val="Arial"/>
        <family val="2"/>
      </rPr>
      <t>–</t>
    </r>
    <r>
      <rPr>
        <sz val="12"/>
        <color rgb="FF1D1D1D"/>
        <rFont val="Arial"/>
        <family val="2"/>
      </rPr>
      <t xml:space="preserve"> Platin und Palladium</t>
    </r>
  </si>
  <si>
    <r>
      <rPr>
        <sz val="12"/>
        <color rgb="FF1D1D1D"/>
        <rFont val="Arial"/>
        <family val="2"/>
      </rPr>
      <t>Land</t>
    </r>
  </si>
  <si>
    <t>Zahl der Arbeitnehmer (Personenzahl)</t>
  </si>
  <si>
    <t>Deutschland</t>
  </si>
  <si>
    <t>Bulgarien</t>
  </si>
  <si>
    <t>Belgien</t>
  </si>
  <si>
    <t>Männlich</t>
  </si>
  <si>
    <t>Weiblich</t>
  </si>
  <si>
    <r>
      <rPr>
        <sz val="12"/>
        <color rgb="FF1D1D1D"/>
        <rFont val="Arial"/>
        <family val="2"/>
      </rPr>
      <t>Divers</t>
    </r>
    <r>
      <rPr>
        <vertAlign val="superscript"/>
        <sz val="12"/>
        <color rgb="FF1D1D1D"/>
        <rFont val="Arial"/>
        <family val="2"/>
      </rPr>
      <t>1</t>
    </r>
  </si>
  <si>
    <t>N/A</t>
  </si>
  <si>
    <r>
      <rPr>
        <sz val="12"/>
        <color rgb="FF1D1D1D"/>
        <rFont val="Arial"/>
        <family val="2"/>
      </rPr>
      <t>Keine Angaben</t>
    </r>
  </si>
  <si>
    <r>
      <rPr>
        <b/>
        <sz val="12"/>
        <color rgb="FF1D1D1D"/>
        <rFont val="Arial"/>
        <family val="2"/>
      </rPr>
      <t>Gesamtzahl der Arbeitnehmer</t>
    </r>
  </si>
  <si>
    <r>
      <rPr>
        <b/>
        <sz val="16"/>
        <color rgb="FF000000"/>
        <rFont val="Arial"/>
        <family val="2"/>
      </rPr>
      <t>Zahl der Arbeitnehmer pro Vertragsart</t>
    </r>
    <r>
      <rPr>
        <b/>
        <vertAlign val="superscript"/>
        <sz val="16"/>
        <color rgb="FF000000"/>
        <rFont val="Arial"/>
        <family val="2"/>
      </rPr>
      <t>1</t>
    </r>
    <r>
      <rPr>
        <b/>
        <sz val="16"/>
        <color rgb="FF000000"/>
        <rFont val="Arial"/>
        <family val="2"/>
      </rPr>
      <t xml:space="preserve"> und aufgeschlüsselt nach Geschlecht</t>
    </r>
    <r>
      <rPr>
        <b/>
        <vertAlign val="superscript"/>
        <sz val="16"/>
        <color rgb="FF000000"/>
        <rFont val="Arial"/>
        <family val="2"/>
      </rPr>
      <t>2</t>
    </r>
  </si>
  <si>
    <t>GJ 2024/25</t>
  </si>
  <si>
    <r>
      <rPr>
        <b/>
        <sz val="12"/>
        <color rgb="FF0076A7"/>
        <rFont val="Arial"/>
        <family val="2"/>
      </rPr>
      <t>Divers</t>
    </r>
    <r>
      <rPr>
        <b/>
        <vertAlign val="superscript"/>
        <sz val="12"/>
        <color rgb="FF0076A7"/>
        <rFont val="Arial"/>
        <family val="2"/>
      </rPr>
      <t>2</t>
    </r>
  </si>
  <si>
    <t>Keine Angaben</t>
  </si>
  <si>
    <t>Insgesamt</t>
  </si>
  <si>
    <r>
      <rPr>
        <sz val="12"/>
        <color rgb="FF1D1D1D"/>
        <rFont val="Arial"/>
        <family val="2"/>
      </rPr>
      <t>Zahl der Arbeitnehmer (Personenzahl)</t>
    </r>
  </si>
  <si>
    <r>
      <rPr>
        <sz val="12"/>
        <color rgb="FF1D1D1D"/>
        <rFont val="Arial"/>
        <family val="2"/>
      </rPr>
      <t>Zahl der Arbeitnehmer mit unbefristeten Arbeitsverträgen (Personenzahl)</t>
    </r>
  </si>
  <si>
    <r>
      <rPr>
        <sz val="12"/>
        <color rgb="FF1D1D1D"/>
        <rFont val="Arial"/>
        <family val="2"/>
      </rPr>
      <t>Zahl der Arbeitnehmer mit befristeten Arbeitsverträgen (Personenzahl)</t>
    </r>
  </si>
  <si>
    <t>Tarifvertragliche Abdeckung</t>
  </si>
  <si>
    <t>Sozialer Dialog</t>
  </si>
  <si>
    <t>Abdeckungsquote</t>
  </si>
  <si>
    <t>Arbeitnehmer – EWR</t>
  </si>
  <si>
    <t>Arbeitnehmer – Nicht-EWR- Länder</t>
  </si>
  <si>
    <t>Vertretung am Arbeitsplatz (nur EWR)</t>
  </si>
  <si>
    <t>0–19 %</t>
  </si>
  <si>
    <t>20–39 %</t>
  </si>
  <si>
    <t>40–59 %</t>
  </si>
  <si>
    <t>Italien</t>
  </si>
  <si>
    <t>60–79 %</t>
  </si>
  <si>
    <t>80–100 %</t>
  </si>
  <si>
    <t>Deutschland, Bulgarien, Italien, Belgien, Spanien, Finnland</t>
  </si>
  <si>
    <t>Belgien, Deutschland, Finnland, Spanien</t>
  </si>
  <si>
    <t>Zahlenwert</t>
  </si>
  <si>
    <t>Prozentwert</t>
  </si>
  <si>
    <t>Gesamt</t>
  </si>
  <si>
    <t>Alter</t>
  </si>
  <si>
    <t>&lt;30</t>
  </si>
  <si>
    <t>30 bis 50</t>
  </si>
  <si>
    <t>Durchschnittliche Anzahl an Weiterbildungsstunden pro Arbeitnehmer</t>
  </si>
  <si>
    <r>
      <rPr>
        <b/>
        <sz val="12"/>
        <color rgb="FF1D1D1D"/>
        <rFont val="Arial"/>
        <family val="2"/>
      </rPr>
      <t>Zahl der Todesfälle, die auf arbeitsbedingte Verletzungen und Erkrankungen zurückzuführen sind</t>
    </r>
    <r>
      <rPr>
        <b/>
        <vertAlign val="superscript"/>
        <sz val="12"/>
        <color rgb="FF1D1D1D"/>
        <rFont val="Arial"/>
        <family val="2"/>
      </rPr>
      <t>1</t>
    </r>
  </si>
  <si>
    <t>davon Todesfälle von eigenen Arbeitnehmern</t>
  </si>
  <si>
    <t>davon Todesfälle von Zeitarbeitnehmern und Mitarbeitern von Fremdfirmen</t>
  </si>
  <si>
    <r>
      <rPr>
        <b/>
        <sz val="12"/>
        <color rgb="FF1D1D1D"/>
        <rFont val="Arial"/>
        <family val="2"/>
      </rPr>
      <t>Zahl der meldepflichtigen Arbeitsunfälle</t>
    </r>
    <r>
      <rPr>
        <b/>
        <vertAlign val="superscript"/>
        <sz val="12"/>
        <color rgb="FF1D1D1D"/>
        <rFont val="Arial"/>
        <family val="2"/>
      </rPr>
      <t>2</t>
    </r>
  </si>
  <si>
    <t>davon die meldepflichtigen Arbeitsunfälle eigener Arbeitnehmer</t>
  </si>
  <si>
    <t>davon die meldepflichtigen Arbeitsunfälle von Zeitarbeitnehmern und Mitarbeitern von Fremdfirmen</t>
  </si>
  <si>
    <r>
      <rPr>
        <b/>
        <sz val="12"/>
        <color rgb="FF1D1D1D"/>
        <rFont val="Arial"/>
        <family val="2"/>
      </rPr>
      <t>Quote der meldepflichtigen Arbeitsunfälle</t>
    </r>
    <r>
      <rPr>
        <b/>
        <vertAlign val="superscript"/>
        <sz val="12"/>
        <color rgb="FF1D1D1D"/>
        <rFont val="Arial"/>
        <family val="2"/>
      </rPr>
      <t>3</t>
    </r>
  </si>
  <si>
    <t>Quote meldepflichtiger Arbeitsunfälle von eigenen Arbeitnehmern</t>
  </si>
  <si>
    <t>Quote meldepflichtiger Arbeitsunfälle von Zeitarbeitnehmern und Mitarbeitern von Fremdfirmen</t>
  </si>
  <si>
    <t>Gesamtzahl der Fälle von Diskriminierung, einschließlich Belästigung</t>
  </si>
  <si>
    <r>
      <rPr>
        <sz val="12"/>
        <color rgb="FF1D1D1D"/>
        <rFont val="Arial"/>
        <family val="2"/>
      </rPr>
      <t>Zahl der Beschwerden, die über Kanäle, über die Arbeitskräfte des Unternehmens Bedenken äußern können, eingereicht wurden (exklusive Diskriminierung)</t>
    </r>
    <r>
      <rPr>
        <vertAlign val="superscript"/>
        <sz val="12"/>
        <color rgb="FF1D1D1D"/>
        <rFont val="Arial"/>
        <family val="2"/>
      </rPr>
      <t>1</t>
    </r>
  </si>
  <si>
    <r>
      <rPr>
        <sz val="12"/>
        <color rgb="FF1D1D1D"/>
        <rFont val="Arial"/>
        <family val="2"/>
      </rPr>
      <t>Zahl der schwerwiegenden Vorfälle in Bezug auf Menschenrechte im Zusammenhang mit den Arbeitskräften des Unternehmens, wie Zwangsarbeit, Menschenhandel oder Kinderarbeit</t>
    </r>
    <r>
      <rPr>
        <vertAlign val="superscript"/>
        <sz val="12"/>
        <color rgb="FF1D1D1D"/>
        <rFont val="Arial"/>
        <family val="2"/>
      </rPr>
      <t>1</t>
    </r>
  </si>
  <si>
    <t>Kriterien für einen wesentlichen Beitrag</t>
  </si>
  <si>
    <t>DNSH-Kriterien („Keine erhebliche Beeinträchtigung“)</t>
  </si>
  <si>
    <t>Code</t>
  </si>
  <si>
    <t>Umsatz</t>
  </si>
  <si>
    <t>Wasser</t>
  </si>
  <si>
    <t>Umwelt-verschmut-
zung</t>
  </si>
  <si>
    <t>Kreislauf-wirtschaft</t>
  </si>
  <si>
    <t>Biologische Vielfalt</t>
  </si>
  <si>
    <t>J; N; N/EL</t>
  </si>
  <si>
    <t>J/N</t>
  </si>
  <si>
    <t>E</t>
  </si>
  <si>
    <t>T</t>
  </si>
  <si>
    <t>A. TAXONOMIEFÄHIGE TÄTIGKEITEN</t>
  </si>
  <si>
    <t>Umsatz ökologisch nachhaltiger Tätigkeiten (taxonomiekonform) (A.1)</t>
  </si>
  <si>
    <t>0</t>
  </si>
  <si>
    <t>Davon ermöglichende Tätigkeiten</t>
  </si>
  <si>
    <t>Davon Übergangstätigkeiten</t>
  </si>
  <si>
    <t>Umsatz taxonomiefähiger, aber nicht ökologisch nachhaltiger Tätigkeiten (nicht taxonomiekonforme Tätigkeiten) (A.2)</t>
  </si>
  <si>
    <t>A. Umsatz taxonomiefähiger Tätigkeiten (A.1 + A.2)</t>
  </si>
  <si>
    <t>B. NICHT TAXONOMIEFÄHIGE TÄTIGKEITEN</t>
  </si>
  <si>
    <t>Umsatz nicht taxonomiefähiger  Tätigkeiten</t>
  </si>
  <si>
    <t>Taxonomiekonform je Ziel</t>
  </si>
  <si>
    <t>Taxonomiefähig je Ziel</t>
  </si>
  <si>
    <t>CCM (Klimaschutz)</t>
  </si>
  <si>
    <t>CCA (Anpassung an den Klimawandel)</t>
  </si>
  <si>
    <t>WTR (Wasser- und Meeresressourcen)</t>
  </si>
  <si>
    <t>CE (Kreislaufwirtschaft)</t>
  </si>
  <si>
    <t>PPC (Umweltverschmutzung)</t>
  </si>
  <si>
    <t>BIO (Biodiversität)</t>
  </si>
  <si>
    <t>OpEx</t>
  </si>
  <si>
    <t>OpEx ökologisch nachhaltiger Tätigkeiten (taxonomiekonform) (A.1)</t>
  </si>
  <si>
    <t>OpEx taxonomiefähiger, aber nicht ökologisch nachhaltiger Tätigkeiten (nicht taxonomiekonforme Tätigkeiten) (A.2)</t>
  </si>
  <si>
    <t>A. OpEx taxonomiefähiger Tätigkeiten (A.1 + A.2)</t>
  </si>
  <si>
    <t>OpEx nicht taxonomiefähiger  Tätigkeiten</t>
  </si>
  <si>
    <t>CapEx</t>
  </si>
  <si>
    <t>Installation, Wartung und Reparatur von energieeffizienten Geräten</t>
  </si>
  <si>
    <t>CCM 7.3</t>
  </si>
  <si>
    <t>J</t>
  </si>
  <si>
    <t>N/EL</t>
  </si>
  <si>
    <t>Installation, Wartung und Reparatur von Technologien für erneuerbare Energien</t>
  </si>
  <si>
    <t>CCM 7.6</t>
  </si>
  <si>
    <t>CapEx ökologisch nachhaltiger Tätigkeiten (taxonomiekonform) (A.1)</t>
  </si>
  <si>
    <t>Beförderung mit Motorrädern, Personenkraftwagen und leichten Nutzfahrzeugen</t>
  </si>
  <si>
    <t>CCM 6.5</t>
  </si>
  <si>
    <t>EL</t>
  </si>
  <si>
    <t>Neubau</t>
  </si>
  <si>
    <t>CCM 7.1</t>
  </si>
  <si>
    <t>Installation, Wartung und Reparatur von Ladestationen für Elektrofahrzeuge in Gebäuden (und auf zu Gebäuden gehörenden Parkplätzen)</t>
  </si>
  <si>
    <t>CCM 7.4</t>
  </si>
  <si>
    <t>CCM 7.7</t>
  </si>
  <si>
    <t>CapEx taxonomiefähiger, aber nicht ökologisch nachhaltiger Tätigkeiten (nicht taxonomiekonforme Tätigkeiten) (A.2)</t>
  </si>
  <si>
    <t>A. CapEx taxonomiefähiger Tätigkeiten (A.1 + A.2)</t>
  </si>
  <si>
    <t>CapEx nicht taxonomiefähiger  Tätigkeiten</t>
  </si>
  <si>
    <t>Quantitative Aufschlüsselung</t>
  </si>
  <si>
    <t>Wirtschaftstätigkeiten, in T€</t>
  </si>
  <si>
    <r>
      <rPr>
        <sz val="12"/>
        <color rgb="FF1D1D1D"/>
        <rFont val="Arial"/>
        <family val="2"/>
      </rPr>
      <t>Umsatz</t>
    </r>
    <r>
      <rPr>
        <vertAlign val="superscript"/>
        <sz val="12"/>
        <color rgb="FF1D1D1D"/>
        <rFont val="Arial"/>
        <family val="2"/>
      </rPr>
      <t>1</t>
    </r>
  </si>
  <si>
    <t>Erlöse aus Verträgen mit Kunden</t>
  </si>
  <si>
    <t>Leasingerlöse</t>
  </si>
  <si>
    <t>Sonstige Umsatzerlöse</t>
  </si>
  <si>
    <t>Anteil Eigenbedarf</t>
  </si>
  <si>
    <t>Nur taxonomiekonforme Tätigkeiten</t>
  </si>
  <si>
    <r>
      <rPr>
        <sz val="12"/>
        <color rgb="FF1D1D1D"/>
        <rFont val="Arial"/>
        <family val="2"/>
      </rPr>
      <t>OpEx</t>
    </r>
    <r>
      <rPr>
        <vertAlign val="superscript"/>
        <sz val="12"/>
        <color rgb="FF1D1D1D"/>
        <rFont val="Arial"/>
        <family val="2"/>
      </rPr>
      <t>1</t>
    </r>
  </si>
  <si>
    <t>Forschungs- und Entwicklungs- aufwendungen</t>
  </si>
  <si>
    <t>Kurzfristiges Leasing</t>
  </si>
  <si>
    <t>Sonstige andere direkte Ausgaben</t>
  </si>
  <si>
    <t>c) Aufwendungen, die im Zusammenhang mit taxonomiekonformen Wirtschaftstätigkeiten entstanden sind, und Aufwendungen, die im Rahmen eines  CapEx-Plans entstanden sind</t>
  </si>
  <si>
    <t>CapEx-Plan</t>
  </si>
  <si>
    <t>CCM 7.3 Installation, Wartung und Reparatur von energieeffizienten Geräten</t>
  </si>
  <si>
    <t>CCM 7.6 Installation, Wartung und Reparatur von Technologien für erneuerbare Energien</t>
  </si>
  <si>
    <t xml:space="preserve"> </t>
  </si>
  <si>
    <t>EU-Taxonomie-Aktivität</t>
  </si>
  <si>
    <t>Beschreibung Aurubis-Tätigkeit</t>
  </si>
  <si>
    <t>7 – Baugewerbe und Immobilien</t>
  </si>
  <si>
    <t>Einzelne Renovierungsmaßnahmen, die in der Installation, Wartung oder Reparatur von energieeffizienten Geräten bestehen</t>
  </si>
  <si>
    <t>Installation von Photovoltaiksystemen zur Selbstversorgung, beispielsweise am Standort Pirdop</t>
  </si>
  <si>
    <r>
      <rPr>
        <sz val="12"/>
        <color rgb="FF000000"/>
        <rFont val="Arial"/>
        <family val="2"/>
      </rPr>
      <t>Zeile</t>
    </r>
  </si>
  <si>
    <r>
      <rPr>
        <sz val="12"/>
        <color rgb="FF1D1D1D"/>
        <rFont val="Arial"/>
        <family val="2"/>
      </rPr>
      <t>Tätigkeit</t>
    </r>
  </si>
  <si>
    <r>
      <rPr>
        <sz val="12"/>
        <color rgb="FF1D1D1D"/>
        <rFont val="Arial"/>
        <family val="2"/>
      </rPr>
      <t>Ja/Nein</t>
    </r>
  </si>
  <si>
    <r>
      <rPr>
        <b/>
        <sz val="12"/>
        <color rgb="FF0076A7"/>
        <rFont val="Arial"/>
        <family val="2"/>
      </rPr>
      <t>Bereich Kernenergie</t>
    </r>
  </si>
  <si>
    <t xml:space="preserve">Das Unternehmen ist im Bereich Erforschung, Entwicklung, Demonstration und Einsatz innovativer Stromerzeugungsanlagen, die bei minimalem Abfall aus dem Brennstoffkreislauf Energie aus Nuklearprozessen erzeugen, tätig, finanziert solche Tätigkeiten oder hält Risikopositionen im Zusammenhang mit diesen Tätigkeiten.    </t>
  </si>
  <si>
    <r>
      <rPr>
        <sz val="12"/>
        <color rgb="FF1D1D1D"/>
        <rFont val="Arial"/>
        <family val="2"/>
      </rPr>
      <t>Nein</t>
    </r>
  </si>
  <si>
    <t xml:space="preserve">Das Unternehmen ist im Bau und sicheren Betrieb neuer kerntechnischer Anlagen zur Erzeugung von Strom oder Prozesswärme - auch für die Fernwärmeversorgung oder industrielle Prozesse wie die Wasserstofferzeugung - sowie bei deren sicherheitstechnischer Verbesserung mithilfe der besten verfügbaren Technologien tätig, finanziert solche Tätigkeiten oder hält Risikopositionen im Zusammenhang mit diesen Tätigkeiten.				</t>
  </si>
  <si>
    <t xml:space="preserve">Das Unternehmen ist im sicheren Betrieb bestehender kerntechnischer Anlagen zur Erzeugung von Strom oder Prozesswärme - auch für die Fernwärmeversorgung oder industrielle Prozesse wie die Wasserstofferzeugung - sowie bei deren sicherheitstechnischer Verbesserung tätig, finanziert solche Tätigkeiten oder hält Risikopositionen im Zusammenhang mit diesen Tätigkeiten.	</t>
  </si>
  <si>
    <r>
      <rPr>
        <b/>
        <sz val="12"/>
        <color rgb="FF0076A7"/>
        <rFont val="Arial"/>
        <family val="2"/>
      </rPr>
      <t>Bereich fossiles Gas</t>
    </r>
  </si>
  <si>
    <t>Das Unternehmen ist im Bau oder Betrieb von Anlagen zur Erzeugung von Strom aus fossilen gasförmigen Brennstoffen tätig, finanziert solche Tätigkeiten oder hält Risikopositionen im Zusammenhang mit diesen Tätigkeiten.</t>
  </si>
  <si>
    <r>
      <rPr>
        <sz val="12"/>
        <color rgb="FF1D1D1D"/>
        <rFont val="Arial"/>
        <family val="2"/>
      </rPr>
      <t>Das Unternehmen ist im Bau, in der Modernisierung und im Betrieb von Anlagen für die Kraft-Wärme/Kälte-Kopplung mit fossilen gasförmigen Brennstoffen tätig, finanziert solche Tätigkeiten oder hält Risikopositionen im Zusammenhang mit diesen Tätigkeiten.</t>
    </r>
  </si>
  <si>
    <r>
      <rPr>
        <sz val="12"/>
        <color rgb="FF1D1D1D"/>
        <rFont val="Arial"/>
        <family val="2"/>
      </rPr>
      <t>Das Unternehmen ist im Bau, in der Modernisierung und im Betrieb von Anlagen für die Wärmegewinnung, die Wärme/Kälte aus fossilen gasförmigen Brennstoffen erzeugen, tätig, finanziert solche Tätigkeiten oder hält Risikopositionen im Zusammenhang mit diesen Tätigkeiten.</t>
    </r>
  </si>
  <si>
    <r>
      <rPr>
        <sz val="12"/>
        <color rgb="FF000000"/>
        <rFont val="Arial"/>
        <family val="2"/>
      </rPr>
      <t>Anhang-Nr.</t>
    </r>
  </si>
  <si>
    <r>
      <rPr>
        <sz val="12"/>
        <color rgb="FF000000"/>
        <rFont val="Arial"/>
        <family val="2"/>
      </rPr>
      <t>1</t>
    </r>
  </si>
  <si>
    <r>
      <rPr>
        <sz val="12"/>
        <color rgb="FF000000"/>
        <rFont val="Arial"/>
        <family val="2"/>
      </rPr>
      <t>2</t>
    </r>
  </si>
  <si>
    <r>
      <rPr>
        <sz val="12"/>
        <color rgb="FF000000"/>
        <rFont val="Arial"/>
        <family val="2"/>
      </rPr>
      <t>3</t>
    </r>
  </si>
  <si>
    <r>
      <rPr>
        <sz val="12"/>
        <color rgb="FF000000"/>
        <rFont val="Arial"/>
        <family val="2"/>
      </rPr>
      <t>4</t>
    </r>
  </si>
  <si>
    <r>
      <rPr>
        <sz val="12"/>
        <color rgb="FF000000"/>
        <rFont val="Arial"/>
        <family val="2"/>
      </rPr>
      <t>5</t>
    </r>
  </si>
  <si>
    <r>
      <rPr>
        <sz val="12"/>
        <color rgb="FF000000"/>
        <rFont val="Arial"/>
        <family val="2"/>
      </rPr>
      <t> </t>
    </r>
  </si>
  <si>
    <r>
      <rPr>
        <sz val="12"/>
        <color rgb="FF000000"/>
        <rFont val="Arial"/>
        <family val="2"/>
      </rPr>
      <t>6</t>
    </r>
  </si>
  <si>
    <r>
      <rPr>
        <sz val="12"/>
        <color rgb="FF000000"/>
        <rFont val="Arial"/>
        <family val="2"/>
      </rPr>
      <t>7</t>
    </r>
  </si>
  <si>
    <r>
      <rPr>
        <sz val="12"/>
        <color rgb="FF000000"/>
        <rFont val="Arial"/>
        <family val="2"/>
      </rPr>
      <t>8</t>
    </r>
  </si>
  <si>
    <r>
      <rPr>
        <sz val="12"/>
        <color rgb="FF000000"/>
        <rFont val="Arial"/>
        <family val="2"/>
      </rPr>
      <t>9</t>
    </r>
  </si>
  <si>
    <r>
      <rPr>
        <sz val="12"/>
        <color rgb="FF000000"/>
        <rFont val="Arial"/>
        <family val="2"/>
      </rPr>
      <t>10</t>
    </r>
  </si>
  <si>
    <r>
      <rPr>
        <sz val="12"/>
        <color rgb="FF000000"/>
        <rFont val="Arial"/>
        <family val="2"/>
      </rPr>
      <t>11</t>
    </r>
  </si>
  <si>
    <r>
      <rPr>
        <sz val="12"/>
        <color rgb="FF000000"/>
        <rFont val="Arial"/>
        <family val="2"/>
      </rPr>
      <t>12</t>
    </r>
  </si>
  <si>
    <t>Auf Aktionäre der Aurubis AG entfallendes Konzernergebnis</t>
  </si>
  <si>
    <r>
      <rPr>
        <sz val="12"/>
        <color rgb="FF000000"/>
        <rFont val="Arial"/>
        <family val="2"/>
      </rPr>
      <t>13</t>
    </r>
  </si>
  <si>
    <t>Auf nicht beherrschende Anteile entfallendes Konzernergebnis</t>
  </si>
  <si>
    <t>Unverwässertes Ergebnis je Aktie (in €)</t>
  </si>
  <si>
    <r>
      <rPr>
        <sz val="12"/>
        <color rgb="FF000000"/>
        <rFont val="Arial"/>
        <family val="2"/>
      </rPr>
      <t>14</t>
    </r>
  </si>
  <si>
    <t>Verwässertes Ergebnis je Aktie (in €)</t>
  </si>
  <si>
    <t>Positionen, die zukünftig in den Gewinn/Verlust reklassifizierbar sind</t>
  </si>
  <si>
    <t>Marktbewertung von Cashflow-Sicherungen</t>
  </si>
  <si>
    <t>Kosten der Absicherung</t>
  </si>
  <si>
    <t>Veränderungen aus der Währungsumrechnung</t>
  </si>
  <si>
    <t>Ertragsteuern</t>
  </si>
  <si>
    <t>Nach der Equity-Methode bilanzierte Finanzanlagen – Anteil am sonstigen Ergebnis</t>
  </si>
  <si>
    <t>Positionen, die nicht in den Gewinn/Verlust reklassifizierbar sind</t>
  </si>
  <si>
    <t>Neubewertung der Nettoschuld von leistungsorientierten Verpflichtungen</t>
  </si>
  <si>
    <t>Nach der Equity-Methode bilanzierte Finanzanlagen – Neubewertung der Nettoschuld von leistungsorientierten Verpflichtungen</t>
  </si>
  <si>
    <t>Sonstiges Ergebnis</t>
  </si>
  <si>
    <t>Konzern-Gesamtergebnis</t>
  </si>
  <si>
    <t>Auf Aktionäre der Aurubis AG entfallendes Konzern-Gesamtergebnis</t>
  </si>
  <si>
    <t>Auf nicht beherrschende Anteile entfallendes Konzern-Gesamtergebnis</t>
  </si>
  <si>
    <r>
      <rPr>
        <sz val="12"/>
        <color rgb="FF1D1D1D"/>
        <rFont val="Arial"/>
        <family val="2"/>
      </rPr>
      <t>Anhang-Nr.</t>
    </r>
  </si>
  <si>
    <t>Immaterielle Vermögenswerte</t>
  </si>
  <si>
    <r>
      <rPr>
        <sz val="12"/>
        <color rgb="FF000000"/>
        <rFont val="Arial"/>
        <family val="2"/>
      </rPr>
      <t>15</t>
    </r>
  </si>
  <si>
    <t>Sachanlagen</t>
  </si>
  <si>
    <r>
      <rPr>
        <sz val="12"/>
        <color rgb="FF000000"/>
        <rFont val="Arial"/>
        <family val="2"/>
      </rPr>
      <t>16</t>
    </r>
  </si>
  <si>
    <t>Finanzanlagen</t>
  </si>
  <si>
    <r>
      <rPr>
        <sz val="12"/>
        <color rgb="FF000000"/>
        <rFont val="Arial"/>
        <family val="2"/>
      </rPr>
      <t>17</t>
    </r>
  </si>
  <si>
    <t>At Equity bewertete Anteile</t>
  </si>
  <si>
    <r>
      <rPr>
        <sz val="12"/>
        <color rgb="FF000000"/>
        <rFont val="Arial"/>
        <family val="2"/>
      </rPr>
      <t>18</t>
    </r>
  </si>
  <si>
    <r>
      <rPr>
        <sz val="12"/>
        <color rgb="FF000000"/>
        <rFont val="Arial"/>
        <family val="2"/>
      </rPr>
      <t>24</t>
    </r>
  </si>
  <si>
    <t>Langfristige finanzielle Vermögenswerte</t>
  </si>
  <si>
    <r>
      <rPr>
        <sz val="12"/>
        <color rgb="FF000000"/>
        <rFont val="Arial"/>
        <family val="2"/>
      </rPr>
      <t>21</t>
    </r>
  </si>
  <si>
    <t>Langfristige Vermögenswerte</t>
  </si>
  <si>
    <r>
      <rPr>
        <b/>
        <sz val="12"/>
        <color rgb="FF000000"/>
        <rFont val="Arial"/>
        <family val="2"/>
      </rPr>
      <t> </t>
    </r>
  </si>
  <si>
    <r>
      <rPr>
        <sz val="12"/>
        <color rgb="FF000000"/>
        <rFont val="Arial"/>
        <family val="2"/>
      </rPr>
      <t>19</t>
    </r>
  </si>
  <si>
    <r>
      <rPr>
        <sz val="12"/>
        <color rgb="FF000000"/>
        <rFont val="Arial"/>
        <family val="2"/>
      </rPr>
      <t>20</t>
    </r>
  </si>
  <si>
    <t>Sonstige kurzfristige finanzielle Vermögenswerte</t>
  </si>
  <si>
    <t>Sonstige kurzfristige nichtfinanzielle Vermögenswerte</t>
  </si>
  <si>
    <r>
      <rPr>
        <sz val="12"/>
        <color rgb="FF000000"/>
        <rFont val="Arial"/>
        <family val="2"/>
      </rPr>
      <t>22</t>
    </r>
  </si>
  <si>
    <t>Kurzfristige Vermögenswerte</t>
  </si>
  <si>
    <t>Gezeichnetes Kapital</t>
  </si>
  <si>
    <r>
      <rPr>
        <sz val="12"/>
        <color rgb="FF000000"/>
        <rFont val="Arial"/>
        <family val="2"/>
      </rPr>
      <t>23</t>
    </r>
  </si>
  <si>
    <t>Kapitalrücklage</t>
  </si>
  <si>
    <t>Eigene Anteile</t>
  </si>
  <si>
    <t>Erwirtschaftetes Konzern-Eigenkapital</t>
  </si>
  <si>
    <t>Kumuliertes sonstiges Ergebnis</t>
  </si>
  <si>
    <t>Eigenkapital der Aktionäre der Aurubis AG</t>
  </si>
  <si>
    <t>Nicht beherrschende Anteile</t>
  </si>
  <si>
    <t>Rückstellungen für Pensionen und ähnliche Verpflichtungen</t>
  </si>
  <si>
    <r>
      <rPr>
        <sz val="12"/>
        <color rgb="FF000000"/>
        <rFont val="Arial"/>
        <family val="2"/>
      </rPr>
      <t>25</t>
    </r>
  </si>
  <si>
    <t>Sonstige langfristige Rückstellungen</t>
  </si>
  <si>
    <r>
      <rPr>
        <sz val="12"/>
        <color rgb="FF000000"/>
        <rFont val="Arial"/>
        <family val="2"/>
      </rPr>
      <t>26</t>
    </r>
  </si>
  <si>
    <r>
      <rPr>
        <sz val="12"/>
        <color rgb="FF000000"/>
        <rFont val="Arial"/>
        <family val="2"/>
      </rPr>
      <t>27</t>
    </r>
  </si>
  <si>
    <t>Sonstige langfristige finanzielle Verbindlichkeiten</t>
  </si>
  <si>
    <t>Langfristige nichtfinanzielle Verbindlichkeiten</t>
  </si>
  <si>
    <t>Langfristige Schulden</t>
  </si>
  <si>
    <t>Verbindlichkeiten aus Lieferungen und Leistungen</t>
  </si>
  <si>
    <t>Verbindlichkeiten aus Ertragsteuern</t>
  </si>
  <si>
    <t>Sonstige kurzfristige finanzielle Verbindlichkeiten</t>
  </si>
  <si>
    <t>Sonstige kurzfristige nichtfinanzielle Verbindlichkeiten</t>
  </si>
  <si>
    <t>Kurzfristige Schulden</t>
  </si>
  <si>
    <t>Ergebnis vor Ertragsteuern</t>
  </si>
  <si>
    <t>Zu-/Abschreibungen auf Vermögenswerte des Anlagevermögens</t>
  </si>
  <si>
    <t>Veränderung der Wertberichtigungen auf Forderungen und sonstige Vermögenswerte</t>
  </si>
  <si>
    <t>Veränderung langfristiger Rückstellungen</t>
  </si>
  <si>
    <t>Ergebnis im Zusammenhang mit der Investitionstätigkeit</t>
  </si>
  <si>
    <t>Bewertung von Derivaten</t>
  </si>
  <si>
    <t>Sonstiges nicht zahlungswirksames Ergebnis</t>
  </si>
  <si>
    <t>Aufwendungen und Erträge aus dem Finanzergebnis</t>
  </si>
  <si>
    <t>Zinseinzahlungen</t>
  </si>
  <si>
    <t>Ein-/Auszahlungen für Ertragsteuern</t>
  </si>
  <si>
    <t>Brutto-Cashflow</t>
  </si>
  <si>
    <t>Veränderung der Forderungen und sonstigen Vermögenswerte</t>
  </si>
  <si>
    <t>Veränderung der Vorräte (inkl. Bewertungseffekte)</t>
  </si>
  <si>
    <t>Veränderung kurzfristiger Rückstellungen</t>
  </si>
  <si>
    <t>Veränderung der Verbindlichkeiten (ohne Finanzschulden)</t>
  </si>
  <si>
    <t>Auszahlungen für Investitionen in das Anlagevermögen</t>
  </si>
  <si>
    <t>Auszahlungen aus der Gewährung von Krediten und Darlehen an nahestehende Unternehmen</t>
  </si>
  <si>
    <t>Einzahlungen aus dem Verkauf von Anlagevermögen</t>
  </si>
  <si>
    <t>Einzahlungen aus der Veräußerung von Eigenkapitalinstrumenten aus den Finanzanlagen</t>
  </si>
  <si>
    <t>Auszahlungen aus nachträglichen Kaufpreisanpassungen im Zusammenhang mit dem Verkauf von Tochterunternehmen und anderen Geschäftseinheiten</t>
  </si>
  <si>
    <t>Einzahlungen aus der Tilgung von nahestehenden Unternehmen gewährten Krediten und Darlehen</t>
  </si>
  <si>
    <t>Erhaltene Dividenden</t>
  </si>
  <si>
    <t>Einzahlungen aus der Aufnahme von Finanzverbindlichkeiten</t>
  </si>
  <si>
    <t>Auszahlungen aus der Tilgung von Anleihen und Finanzverbindlichkeiten</t>
  </si>
  <si>
    <t>Zinsauszahlungen</t>
  </si>
  <si>
    <t>Dividendenzahlungen</t>
  </si>
  <si>
    <t>Cashflow aus Finanzierungstätigkeit</t>
  </si>
  <si>
    <t>Veränderungen aus Wechselkursänderungen</t>
  </si>
  <si>
    <t>Zahlungsmittel und Zahlungsmitteläquivalente am Anfang der Periode</t>
  </si>
  <si>
    <t xml:space="preserve">Zahlungsmittel und Zahlungsmitteläquivalente am Ende der Periode </t>
  </si>
  <si>
    <t>Gezeichnetes
Kapital</t>
  </si>
  <si>
    <t>Kapital-
rücklage</t>
  </si>
  <si>
    <t>Eigene
Anteile</t>
  </si>
  <si>
    <t>Erwirt-
schaftetes
Konzern-
Eigenkapital</t>
  </si>
  <si>
    <t>Markt-
bewertung von Cashflow-
Sicherungen</t>
  </si>
  <si>
    <t>Kosten der
Absicherung</t>
  </si>
  <si>
    <t>Währungs-
änderungen</t>
  </si>
  <si>
    <t>Ertrag-
steuern</t>
  </si>
  <si>
    <t>Anteile der Aktionäre der Aurubis AG</t>
  </si>
  <si>
    <t>Nicht
beherr-
schende
Anteile</t>
  </si>
  <si>
    <t>Summe
Eigen-
kapital</t>
  </si>
  <si>
    <t>Stand am 01.10.2023</t>
  </si>
  <si>
    <t>davon Konzernergebnis</t>
  </si>
  <si>
    <t>davon sonstiges Ergebnis</t>
  </si>
  <si>
    <t>Stand am 30.09.2024</t>
  </si>
  <si>
    <t>Stand am 01.10.2024</t>
  </si>
  <si>
    <t>Stand am 30.09.2025</t>
  </si>
  <si>
    <t>05.02.2026</t>
  </si>
  <si>
    <t>Quartalsmitteilung 3 Monate 2025/26</t>
  </si>
  <si>
    <t>12.02.2026</t>
  </si>
  <si>
    <t>Hauptversammlung</t>
  </si>
  <si>
    <t>11.05.2026</t>
  </si>
  <si>
    <t>Zwischenbericht 6 Monate 2025/26</t>
  </si>
  <si>
    <t>06.08.2026</t>
  </si>
  <si>
    <t>Quartalsmitteilung 9 Monate 2025/26</t>
  </si>
  <si>
    <t>02.12.2026</t>
  </si>
  <si>
    <t>Bericht zum Geschäftsjahr 2025/26</t>
  </si>
  <si>
    <t>Ergebnis</t>
  </si>
  <si>
    <t>Mio. €</t>
  </si>
  <si>
    <t>EBITDA</t>
  </si>
  <si>
    <t>EBITDA operativ</t>
  </si>
  <si>
    <t>EBIT</t>
  </si>
  <si>
    <t>EBIT operativ</t>
  </si>
  <si>
    <t>EBT</t>
  </si>
  <si>
    <t>EBT operativ¹</t>
  </si>
  <si>
    <t>Konzernergebnis operativ</t>
  </si>
  <si>
    <t>Netto-Cashflow</t>
  </si>
  <si>
    <t>ROCE operativ¹</t>
  </si>
  <si>
    <t>Bilanz</t>
  </si>
  <si>
    <t>Bilanzsumme</t>
  </si>
  <si>
    <t>Aktie</t>
  </si>
  <si>
    <t>Marktkapitalisierung</t>
  </si>
  <si>
    <t>Ergebnis je Aktie</t>
  </si>
  <si>
    <t>€</t>
  </si>
  <si>
    <t>Dividende je Aktie²</t>
  </si>
  <si>
    <r>
      <rPr>
        <vertAlign val="superscript"/>
        <sz val="10"/>
        <color rgb="FF000000"/>
        <rFont val="Arial"/>
        <family val="2"/>
      </rPr>
      <t>1</t>
    </r>
    <r>
      <rPr>
        <sz val="10"/>
        <color rgb="FF000000"/>
        <rFont val="Arial"/>
        <family val="2"/>
      </rPr>
      <t xml:space="preserve"> Konzernsteuerungskennzahl. 
</t>
    </r>
    <r>
      <rPr>
        <vertAlign val="superscript"/>
        <sz val="10"/>
        <color rgb="FF000000"/>
        <rFont val="Arial"/>
        <family val="2"/>
      </rPr>
      <t>2</t>
    </r>
    <r>
      <rPr>
        <sz val="10"/>
        <color rgb="FF000000"/>
        <rFont val="Arial"/>
        <family val="2"/>
      </rPr>
      <t xml:space="preserve"> Für das Geschäftsjahr </t>
    </r>
    <r>
      <rPr>
        <sz val="10"/>
        <color rgb="FF000000"/>
        <rFont val="Arial"/>
        <family val="2"/>
      </rPr>
      <t>2024/25</t>
    </r>
    <r>
      <rPr>
        <sz val="10"/>
        <color rgb="FF000000"/>
        <rFont val="Arial"/>
        <family val="2"/>
      </rPr>
      <t xml:space="preserve"> handelt es sich um einen Dividendenvorschlag.</t>
    </r>
  </si>
  <si>
    <t>Maschinenbau</t>
  </si>
  <si>
    <t>Bergmechaniker</t>
  </si>
  <si>
    <t>Industriekauffrau</t>
  </si>
  <si>
    <t>Energieanla-genelektroniker</t>
  </si>
  <si>
    <t>Wirtschafts-wissenschaften</t>
  </si>
  <si>
    <t>Verfahrens­
mechaniker</t>
  </si>
  <si>
    <t>Wirtschaftsrecht</t>
  </si>
  <si>
    <r>
      <t xml:space="preserve">	</t>
    </r>
    <r>
      <rPr>
        <sz val="12"/>
        <color rgb="FF0076A7"/>
        <rFont val="Arial"/>
        <family val="2"/>
      </rPr>
      <t xml:space="preserve">» </t>
    </r>
    <r>
      <rPr>
        <sz val="12"/>
        <color rgb="FF1D1D1D"/>
        <rFont val="Arial"/>
        <family val="2"/>
      </rPr>
      <t xml:space="preserve">Versorgungszusage zur betrieblichen Altersversorgung in Form einer Ruhegeldzusage, finanziert über eine Rückdeckungsversicherung
</t>
    </r>
    <r>
      <rPr>
        <sz val="12"/>
        <color rgb="FF000000"/>
        <rFont val="Arial"/>
        <family val="2"/>
      </rPr>
      <t xml:space="preserve">	</t>
    </r>
    <r>
      <rPr>
        <sz val="12"/>
        <color rgb="FF0076A7"/>
        <rFont val="Arial"/>
        <family val="2"/>
      </rPr>
      <t xml:space="preserve">» </t>
    </r>
    <r>
      <rPr>
        <sz val="12"/>
        <color rgb="FF1D1D1D"/>
        <rFont val="Arial"/>
        <family val="2"/>
      </rPr>
      <t>Beitragsorientierte betriebliche Altersversorgung in Form einer Kapitalzusage, finanziert über eine Rückdeckungsversicherung</t>
    </r>
  </si>
  <si>
    <r>
      <rPr>
        <sz val="12"/>
        <color rgb="FF000000"/>
        <rFont val="Arial"/>
        <family val="2"/>
      </rPr>
      <t xml:space="preserve">	</t>
    </r>
    <r>
      <rPr>
        <sz val="12"/>
        <color rgb="FF0076A7"/>
        <rFont val="Arial"/>
        <family val="2"/>
      </rPr>
      <t xml:space="preserve">» </t>
    </r>
    <r>
      <rPr>
        <sz val="12"/>
        <color rgb="FF1D1D1D"/>
        <rFont val="Arial"/>
        <family val="2"/>
      </rPr>
      <t xml:space="preserve">Vorsitzender: 3.300.000 € 
</t>
    </r>
    <r>
      <rPr>
        <sz val="12"/>
        <color rgb="FF000000"/>
        <rFont val="Arial"/>
        <family val="2"/>
      </rPr>
      <t xml:space="preserve">	</t>
    </r>
    <r>
      <rPr>
        <sz val="12"/>
        <color rgb="FF0076A7"/>
        <rFont val="Arial"/>
        <family val="2"/>
      </rPr>
      <t xml:space="preserve">» </t>
    </r>
    <r>
      <rPr>
        <sz val="12"/>
        <color rgb="FF1D1D1D"/>
        <rFont val="Arial"/>
        <family val="2"/>
      </rPr>
      <t xml:space="preserve">Ordentliches Mitglied: 2.300.000 € </t>
    </r>
  </si>
  <si>
    <r>
      <rPr>
        <sz val="12"/>
        <color rgb="FF000000"/>
        <rFont val="Arial"/>
        <family val="2"/>
      </rPr>
      <t xml:space="preserve">	</t>
    </r>
    <r>
      <rPr>
        <sz val="12"/>
        <color rgb="FF0076A7"/>
        <rFont val="Arial"/>
        <family val="2"/>
      </rPr>
      <t xml:space="preserve">» </t>
    </r>
    <r>
      <rPr>
        <sz val="12"/>
        <color rgb="FF1D1D1D"/>
        <rFont val="Arial"/>
        <family val="2"/>
      </rPr>
      <t xml:space="preserve">Typ: Jahresbonus
</t>
    </r>
    <r>
      <rPr>
        <sz val="12"/>
        <color rgb="FF000000"/>
        <rFont val="Arial"/>
        <family val="2"/>
      </rPr>
      <t xml:space="preserve">	</t>
    </r>
    <r>
      <rPr>
        <sz val="12"/>
        <color rgb="FF0076A7"/>
        <rFont val="Arial"/>
        <family val="2"/>
      </rPr>
      <t xml:space="preserve">» </t>
    </r>
    <r>
      <rPr>
        <sz val="12"/>
        <color rgb="FF1D1D1D"/>
        <rFont val="Arial"/>
        <family val="2"/>
      </rPr>
      <t xml:space="preserve">Leistungskriterien:
</t>
    </r>
    <r>
      <rPr>
        <sz val="12"/>
        <color rgb="FF000000"/>
        <rFont val="Arial"/>
        <family val="2"/>
      </rPr>
      <t xml:space="preserve">			</t>
    </r>
    <r>
      <rPr>
        <sz val="12"/>
        <color rgb="FF0076A7"/>
        <rFont val="Arial"/>
        <family val="2"/>
      </rPr>
      <t>›</t>
    </r>
    <r>
      <rPr>
        <sz val="12"/>
        <color rgb="FF1D1D1D"/>
        <rFont val="Arial"/>
        <family val="2"/>
      </rPr>
      <t xml:space="preserve"> operatives EBT (70 %)
</t>
    </r>
    <r>
      <rPr>
        <sz val="12"/>
        <color rgb="FF000000"/>
        <rFont val="Arial"/>
        <family val="2"/>
      </rPr>
      <t xml:space="preserve">			</t>
    </r>
    <r>
      <rPr>
        <sz val="12"/>
        <color rgb="FF0076A7"/>
        <rFont val="Arial"/>
        <family val="2"/>
      </rPr>
      <t xml:space="preserve">› </t>
    </r>
    <r>
      <rPr>
        <sz val="12"/>
        <color rgb="FF1D1D1D"/>
        <rFont val="Arial"/>
        <family val="2"/>
      </rPr>
      <t xml:space="preserve">individuelle Leistung des Vorstandsmitglieds (20 %)
</t>
    </r>
    <r>
      <rPr>
        <sz val="12"/>
        <color rgb="FF000000"/>
        <rFont val="Arial"/>
        <family val="2"/>
      </rPr>
      <t xml:space="preserve">			</t>
    </r>
    <r>
      <rPr>
        <sz val="12"/>
        <color rgb="FF0076A7"/>
        <rFont val="Arial"/>
        <family val="2"/>
      </rPr>
      <t xml:space="preserve">› </t>
    </r>
    <r>
      <rPr>
        <sz val="12"/>
        <color rgb="FF1D1D1D"/>
        <rFont val="Arial"/>
        <family val="2"/>
      </rPr>
      <t xml:space="preserve">ESG-Ziele (10 %)
</t>
    </r>
    <r>
      <rPr>
        <sz val="12"/>
        <color rgb="FF000000"/>
        <rFont val="Arial"/>
        <family val="2"/>
      </rPr>
      <t xml:space="preserve">	</t>
    </r>
    <r>
      <rPr>
        <sz val="12"/>
        <color rgb="FF0076A7"/>
        <rFont val="Arial"/>
        <family val="2"/>
      </rPr>
      <t xml:space="preserve">» </t>
    </r>
    <r>
      <rPr>
        <sz val="12"/>
        <color rgb="FF1D1D1D"/>
        <rFont val="Arial"/>
        <family val="2"/>
      </rPr>
      <t xml:space="preserve">Auszahlung: vollständig nach Ablauf des Geschäftsjahres in bar 
</t>
    </r>
    <r>
      <rPr>
        <sz val="12"/>
        <color rgb="FF000000"/>
        <rFont val="Arial"/>
        <family val="2"/>
      </rPr>
      <t xml:space="preserve">	</t>
    </r>
    <r>
      <rPr>
        <sz val="12"/>
        <color rgb="FF0076A7"/>
        <rFont val="Arial"/>
        <family val="2"/>
      </rPr>
      <t xml:space="preserve">» </t>
    </r>
    <r>
      <rPr>
        <sz val="12"/>
        <color rgb="FF1D1D1D"/>
        <rFont val="Arial"/>
        <family val="2"/>
      </rPr>
      <t xml:space="preserve">Cap: 150 % des Zielbetrags
</t>
    </r>
    <r>
      <rPr>
        <sz val="12"/>
        <color rgb="FF000000"/>
        <rFont val="Arial"/>
        <family val="2"/>
      </rPr>
      <t xml:space="preserve">	</t>
    </r>
    <r>
      <rPr>
        <sz val="12"/>
        <color rgb="FF0076A7"/>
        <rFont val="Arial"/>
        <family val="2"/>
      </rPr>
      <t xml:space="preserve">» </t>
    </r>
    <r>
      <rPr>
        <sz val="12"/>
        <color rgb="FF1D1D1D"/>
        <rFont val="Arial"/>
        <family val="2"/>
      </rPr>
      <t>Ein diskretionärer Sonderbonus ist nicht vereinbart</t>
    </r>
  </si>
  <si>
    <r>
      <rPr>
        <sz val="12"/>
        <color rgb="FF000000"/>
        <rFont val="Arial"/>
        <family val="2"/>
      </rPr>
      <t xml:space="preserve">	</t>
    </r>
    <r>
      <rPr>
        <sz val="12"/>
        <color rgb="FF0076A7"/>
        <rFont val="Arial"/>
        <family val="2"/>
      </rPr>
      <t xml:space="preserve">» </t>
    </r>
    <r>
      <rPr>
        <sz val="12"/>
        <color rgb="FF1D1D1D"/>
        <rFont val="Arial"/>
        <family val="2"/>
      </rPr>
      <t xml:space="preserve">Typ: Performance Share Plan
</t>
    </r>
    <r>
      <rPr>
        <sz val="12"/>
        <color rgb="FF000000"/>
        <rFont val="Arial"/>
        <family val="2"/>
      </rPr>
      <t xml:space="preserve">	</t>
    </r>
    <r>
      <rPr>
        <sz val="12"/>
        <color rgb="FF0076A7"/>
        <rFont val="Arial"/>
        <family val="2"/>
      </rPr>
      <t xml:space="preserve">» </t>
    </r>
    <r>
      <rPr>
        <sz val="12"/>
        <color rgb="FF1D1D1D"/>
        <rFont val="Arial"/>
        <family val="2"/>
      </rPr>
      <t xml:space="preserve">Performance-Periode: 4 Jahre
</t>
    </r>
    <r>
      <rPr>
        <sz val="12"/>
        <color rgb="FF000000"/>
        <rFont val="Arial"/>
        <family val="2"/>
      </rPr>
      <t xml:space="preserve">	</t>
    </r>
    <r>
      <rPr>
        <sz val="12"/>
        <color rgb="FF0076A7"/>
        <rFont val="Arial"/>
        <family val="2"/>
      </rPr>
      <t xml:space="preserve">» </t>
    </r>
    <r>
      <rPr>
        <sz val="12"/>
        <color rgb="FF1D1D1D"/>
        <rFont val="Arial"/>
        <family val="2"/>
      </rPr>
      <t xml:space="preserve">Leistungskriterium: 
</t>
    </r>
    <r>
      <rPr>
        <sz val="12"/>
        <color rgb="FF000000"/>
        <rFont val="Arial"/>
        <family val="2"/>
      </rPr>
      <t xml:space="preserve">			</t>
    </r>
    <r>
      <rPr>
        <sz val="12"/>
        <color rgb="FF0076A7"/>
        <rFont val="Arial"/>
        <family val="2"/>
      </rPr>
      <t xml:space="preserve">› </t>
    </r>
    <r>
      <rPr>
        <sz val="12"/>
        <color rgb="FF1D1D1D"/>
        <rFont val="Arial"/>
        <family val="2"/>
      </rPr>
      <t xml:space="preserve">operativer ROCE (50 %)
</t>
    </r>
    <r>
      <rPr>
        <sz val="12"/>
        <color rgb="FF000000"/>
        <rFont val="Arial"/>
        <family val="2"/>
      </rPr>
      <t xml:space="preserve">			</t>
    </r>
    <r>
      <rPr>
        <sz val="12"/>
        <color rgb="FF0076A7"/>
        <rFont val="Arial"/>
        <family val="2"/>
      </rPr>
      <t xml:space="preserve">› </t>
    </r>
    <r>
      <rPr>
        <sz val="12"/>
        <color rgb="FF1D1D1D"/>
        <rFont val="Arial"/>
        <family val="2"/>
      </rPr>
      <t xml:space="preserve">relativer Total Shareholder Return (TSR) vs. MDAX (50 %)
</t>
    </r>
    <r>
      <rPr>
        <sz val="12"/>
        <color rgb="FF000000"/>
        <rFont val="Arial"/>
        <family val="2"/>
      </rPr>
      <t xml:space="preserve">	</t>
    </r>
    <r>
      <rPr>
        <sz val="12"/>
        <color rgb="FF0076A7"/>
        <rFont val="Arial"/>
        <family val="2"/>
      </rPr>
      <t xml:space="preserve">» </t>
    </r>
    <r>
      <rPr>
        <sz val="12"/>
        <color rgb="FF1D1D1D"/>
        <rFont val="Arial"/>
        <family val="2"/>
      </rPr>
      <t xml:space="preserve">Cap: 200 % des Zielbetrags
</t>
    </r>
    <r>
      <rPr>
        <sz val="12"/>
        <color rgb="FF000000"/>
        <rFont val="Arial"/>
        <family val="2"/>
      </rPr>
      <t xml:space="preserve">	</t>
    </r>
    <r>
      <rPr>
        <sz val="12"/>
        <color rgb="FF0076A7"/>
        <rFont val="Arial"/>
        <family val="2"/>
      </rPr>
      <t xml:space="preserve">» </t>
    </r>
    <r>
      <rPr>
        <sz val="12"/>
        <color rgb="FF1D1D1D"/>
        <rFont val="Arial"/>
        <family val="2"/>
      </rPr>
      <t>Auszahlung: nach Ende der 4-jährigen Performance-Periode in bar</t>
    </r>
  </si>
  <si>
    <r>
      <rPr>
        <sz val="12"/>
        <color rgb="FF0076A8"/>
        <rFont val="Arial"/>
        <family val="2"/>
      </rPr>
      <t>»</t>
    </r>
    <r>
      <rPr>
        <sz val="12"/>
        <color rgb="FF000000"/>
        <rFont val="Arial"/>
        <family val="2"/>
      </rPr>
      <t xml:space="preserve"> Konzernweite Kommunikation und Initiierung der Seven Security Cluster (transport &amp; asset protection, people protection &amp; travel security, site security &amp; precious metal security, crisis management, security advocacy, threat &amp; country intelligence, know-how &amp; process security) und Umsetzung wesentlicher Maßnahmen an den Standorten
</t>
    </r>
    <r>
      <rPr>
        <sz val="12"/>
        <color rgb="FF0076A8"/>
        <rFont val="Arial"/>
        <family val="2"/>
      </rPr>
      <t>»</t>
    </r>
    <r>
      <rPr>
        <sz val="12"/>
        <color rgb="FF000000"/>
        <rFont val="Arial"/>
        <family val="2"/>
      </rPr>
      <t xml:space="preserve"> Umsetzung der Mehrzahl an SAFE-Maßnahmen, inkl. Überführung in IKS &amp; Signavio</t>
    </r>
  </si>
  <si>
    <r>
      <rPr>
        <sz val="12"/>
        <color rgb="FF0076A8"/>
        <rFont val="Arial"/>
        <family val="2"/>
      </rPr>
      <t xml:space="preserve">» </t>
    </r>
    <r>
      <rPr>
        <sz val="12"/>
        <color rgb="FF000000"/>
        <rFont val="Arial"/>
        <family val="2"/>
      </rPr>
      <t>Vollständige Umsetzung der vorherrschenden Maßnahmen der Seven Security Cluster an allen Standorten</t>
    </r>
  </si>
  <si>
    <r>
      <rPr>
        <sz val="12"/>
        <color rgb="FF0076A8"/>
        <rFont val="Arial"/>
        <family val="2"/>
      </rPr>
      <t xml:space="preserve">» </t>
    </r>
    <r>
      <rPr>
        <sz val="12"/>
        <color rgb="FF000000"/>
        <rFont val="Arial"/>
        <family val="2"/>
      </rPr>
      <t xml:space="preserve">Kommunikation des kulturellen Zielbilds auf allen Ebenen und Etablierung einer Feedbackschleife für Anliegen und Vorschläge der Mitarbeiter
</t>
    </r>
    <r>
      <rPr>
        <sz val="12"/>
        <color rgb="FF0076A8"/>
        <rFont val="Arial"/>
        <family val="2"/>
      </rPr>
      <t xml:space="preserve">» </t>
    </r>
    <r>
      <rPr>
        <sz val="12"/>
        <color rgb="FF000000"/>
        <rFont val="Arial"/>
        <family val="2"/>
      </rPr>
      <t>Verankerung der Impulsbefragung zur Messung des kulturellen Klimas und Ableitung zentraler Kultur-KPIs</t>
    </r>
  </si>
  <si>
    <r>
      <rPr>
        <sz val="12"/>
        <color rgb="FF0076A8"/>
        <rFont val="Arial"/>
        <family val="2"/>
      </rPr>
      <t xml:space="preserve">» </t>
    </r>
    <r>
      <rPr>
        <sz val="12"/>
        <color rgb="FF000000"/>
        <rFont val="Arial"/>
        <family val="2"/>
      </rPr>
      <t xml:space="preserve">Weiterentwicklung des Aurubis-Performance-Management-Prozesses hin zu Management by Objectives (MbO)
</t>
    </r>
    <r>
      <rPr>
        <sz val="12"/>
        <color rgb="FF0076A8"/>
        <rFont val="Arial"/>
        <family val="2"/>
      </rPr>
      <t xml:space="preserve">» </t>
    </r>
    <r>
      <rPr>
        <sz val="12"/>
        <color rgb="FF000000"/>
        <rFont val="Arial"/>
        <family val="2"/>
      </rPr>
      <t>Aktualisierung der Kompetenzanforderung „Führung“ unter Einbezug der neuen Unternehmenskultur (einschließlich Unternehmenswerte, Führungsmodell, Feedbackkultur, Fehlerkultur)</t>
    </r>
  </si>
  <si>
    <r>
      <rPr>
        <sz val="12"/>
        <color rgb="FF0076A8"/>
        <rFont val="Arial"/>
        <family val="2"/>
      </rPr>
      <t xml:space="preserve">» </t>
    </r>
    <r>
      <rPr>
        <sz val="12"/>
        <color rgb="FF000000"/>
        <rFont val="Arial"/>
        <family val="2"/>
      </rPr>
      <t>Erste Iteration des kulturellen Designs auf Gruppen- und Standortebene gestartet</t>
    </r>
  </si>
  <si>
    <r>
      <rPr>
        <sz val="12"/>
        <color rgb="FF0076A8"/>
        <rFont val="Arial"/>
        <family val="2"/>
      </rPr>
      <t xml:space="preserve">» </t>
    </r>
    <r>
      <rPr>
        <sz val="12"/>
        <color rgb="FF000000"/>
        <rFont val="Arial"/>
        <family val="2"/>
      </rPr>
      <t>Konzernweite Arbeitsunfälle mit Ausfallzeiten pro eine Million Arbeitsstunden der vergangenen 12 Monate (LTIFR) max. auf dem Richtwert/Yardstick von 3,2</t>
    </r>
  </si>
  <si>
    <r>
      <rPr>
        <sz val="12"/>
        <color rgb="FF0076A8"/>
        <rFont val="Arial"/>
        <family val="2"/>
      </rPr>
      <t xml:space="preserve">» </t>
    </r>
    <r>
      <rPr>
        <sz val="12"/>
        <color rgb="FF000000"/>
        <rFont val="Arial"/>
        <family val="2"/>
      </rPr>
      <t xml:space="preserve">Konzernweiter LTIFR auf oder unter dem Yardstick von 2,4
</t>
    </r>
    <r>
      <rPr>
        <sz val="12"/>
        <color rgb="FF0076A8"/>
        <rFont val="Arial"/>
        <family val="2"/>
      </rPr>
      <t xml:space="preserve">» </t>
    </r>
    <r>
      <rPr>
        <sz val="12"/>
        <color rgb="FF000000"/>
        <rFont val="Arial"/>
        <family val="2"/>
      </rPr>
      <t xml:space="preserve">Etablierung von Strukturen und Prozessen zur deutlichen Verbesserung der Sicherheitsleistung bei Aurubis auf Basis einer anerkannten Best-Practice-Bewer-tungsmethode. Erste wirksame Maßnahmen umgesetzt, die es den Mitarbeitern ermöglichen, Sicherheitsrisiken proaktiv zu erkennen und zu mindern
</t>
    </r>
    <r>
      <rPr>
        <sz val="12"/>
        <color rgb="FF0076A8"/>
        <rFont val="Arial"/>
        <family val="2"/>
      </rPr>
      <t xml:space="preserve">» </t>
    </r>
    <r>
      <rPr>
        <sz val="12"/>
        <color rgb="FF000000"/>
        <rFont val="Arial"/>
        <family val="2"/>
      </rPr>
      <t>Aufbau einer ordnungsgemäßen CSRD-Berichterstattung sowie weitere Verbesserung des internen Kontrollsystems (IKS) in Abstimmung mit den Wirtschaftsprüfern</t>
    </r>
  </si>
  <si>
    <r>
      <rPr>
        <sz val="12"/>
        <color rgb="FF0076A8"/>
        <rFont val="Arial"/>
        <family val="2"/>
      </rPr>
      <t xml:space="preserve">» </t>
    </r>
    <r>
      <rPr>
        <sz val="12"/>
        <color rgb="FF000000"/>
        <rFont val="Arial"/>
        <family val="2"/>
      </rPr>
      <t xml:space="preserve">Konzernweiter LTIFR auf oder unter dem Yardstick von 2,0
</t>
    </r>
    <r>
      <rPr>
        <sz val="12"/>
        <color rgb="FF0076A8"/>
        <rFont val="Arial"/>
        <family val="2"/>
      </rPr>
      <t xml:space="preserve">» </t>
    </r>
    <r>
      <rPr>
        <sz val="12"/>
        <color rgb="FF000000"/>
        <rFont val="Arial"/>
        <family val="2"/>
      </rPr>
      <t>Governance: Abschluss und Zustimmung des Aufsichtsrats zur Strategieüberprüfung</t>
    </r>
  </si>
  <si>
    <r>
      <rPr>
        <b/>
        <sz val="12"/>
        <color rgb="FF1D1D1D"/>
        <rFont val="Arial"/>
        <family val="2"/>
      </rPr>
      <t>Dr. Toralf Haag</t>
    </r>
    <r>
      <rPr>
        <sz val="12"/>
        <color rgb="FF1D1D1D"/>
        <rFont val="Arial"/>
        <family val="2"/>
      </rPr>
      <t xml:space="preserve">
Chief Executive Officer 
Vorstandsvorsitzender seit 01.09.2024</t>
    </r>
  </si>
  <si>
    <r>
      <rPr>
        <b/>
        <sz val="12"/>
        <color rgb="FF1D1D1D"/>
        <rFont val="Arial"/>
        <family val="2"/>
      </rPr>
      <t>Steffen Alexander Hoffmann</t>
    </r>
    <r>
      <rPr>
        <sz val="12"/>
        <color rgb="FF1D1D1D"/>
        <rFont val="Arial"/>
        <family val="2"/>
      </rPr>
      <t xml:space="preserve">
Chief Financial Officer 
Vorstand seit 01.10.2024</t>
    </r>
  </si>
  <si>
    <r>
      <rPr>
        <b/>
        <sz val="12"/>
        <color rgb="FF1D1D1D"/>
        <rFont val="Arial"/>
        <family val="2"/>
      </rPr>
      <t>Inge Hofkens</t>
    </r>
    <r>
      <rPr>
        <sz val="12"/>
        <color rgb="FF1D1D1D"/>
        <rFont val="Arial"/>
        <family val="2"/>
      </rPr>
      <t xml:space="preserve">
COO Multimetal Recycling
Vorständin seit 01.01.2023</t>
    </r>
  </si>
  <si>
    <r>
      <rPr>
        <b/>
        <sz val="12"/>
        <color rgb="FF1D1D1D"/>
        <rFont val="Arial"/>
        <family val="2"/>
      </rPr>
      <t>Tim Kurth</t>
    </r>
    <r>
      <rPr>
        <vertAlign val="superscript"/>
        <sz val="12"/>
        <color rgb="FF1D1D1D"/>
        <rFont val="Arial"/>
        <family val="2"/>
      </rPr>
      <t>3</t>
    </r>
    <r>
      <rPr>
        <sz val="12"/>
        <color rgb="FF1D1D1D"/>
        <rFont val="Arial"/>
        <family val="2"/>
      </rPr>
      <t xml:space="preserve">
COO Custom Smelting &amp; Products
Vorstand seit 01.09.2024</t>
    </r>
  </si>
  <si>
    <r>
      <rPr>
        <b/>
        <sz val="12"/>
        <color rgb="FF000000"/>
        <rFont val="Arial"/>
        <family val="2"/>
      </rPr>
      <t>Dr. Toralf Haag</t>
    </r>
    <r>
      <rPr>
        <sz val="12"/>
        <color rgb="FF000000"/>
        <rFont val="Arial"/>
        <family val="2"/>
      </rPr>
      <t xml:space="preserve">
Chief Executive Officer 
Vorstandsvorsitzender seit 01.09.2024</t>
    </r>
  </si>
  <si>
    <r>
      <rPr>
        <b/>
        <sz val="12"/>
        <color rgb="FF000000"/>
        <rFont val="Arial"/>
        <family val="2"/>
      </rPr>
      <t>Steffen Alexander Hoffmann</t>
    </r>
    <r>
      <rPr>
        <vertAlign val="superscript"/>
        <sz val="12"/>
        <color rgb="FF000000"/>
        <rFont val="Arial"/>
        <family val="2"/>
      </rPr>
      <t>3</t>
    </r>
    <r>
      <rPr>
        <sz val="12"/>
        <color rgb="FF000000"/>
        <rFont val="Arial"/>
        <family val="2"/>
      </rPr>
      <t xml:space="preserve">
Chief Financial Officer 
Vorstand seit 01.10.2024</t>
    </r>
  </si>
  <si>
    <r>
      <rPr>
        <b/>
        <sz val="12"/>
        <color rgb="FF000000"/>
        <rFont val="Arial"/>
        <family val="2"/>
      </rPr>
      <t>Inge Hofkens</t>
    </r>
    <r>
      <rPr>
        <sz val="12"/>
        <color rgb="FF000000"/>
        <rFont val="Arial"/>
        <family val="2"/>
      </rPr>
      <t xml:space="preserve">
COO Multimetal Recycling
Vorständin seit 01.01.2023</t>
    </r>
  </si>
  <si>
    <r>
      <rPr>
        <b/>
        <sz val="12"/>
        <color rgb="FF000000"/>
        <rFont val="Arial"/>
        <family val="2"/>
      </rPr>
      <t>Tim Kurth</t>
    </r>
    <r>
      <rPr>
        <vertAlign val="superscript"/>
        <sz val="12"/>
        <color rgb="FF000000"/>
        <rFont val="Arial"/>
        <family val="2"/>
      </rPr>
      <t>4</t>
    </r>
    <r>
      <rPr>
        <sz val="12"/>
        <color rgb="FF000000"/>
        <rFont val="Arial"/>
        <family val="2"/>
      </rPr>
      <t xml:space="preserve">
COO Custom Smelting &amp; Products
Vorstand seit 01.09.2024</t>
    </r>
  </si>
  <si>
    <r>
      <rPr>
        <b/>
        <sz val="12"/>
        <color rgb="FF000000"/>
        <rFont val="Arial"/>
        <family val="2"/>
      </rPr>
      <t>Roland Harings</t>
    </r>
    <r>
      <rPr>
        <sz val="12"/>
        <color rgb="FF000000"/>
        <rFont val="Arial"/>
        <family val="2"/>
      </rPr>
      <t xml:space="preserve">
Chief Executive Officer 
Vorstandsvorsitzender 
vom 20.05.2019 bis zum 30.09.2024</t>
    </r>
  </si>
  <si>
    <r>
      <rPr>
        <b/>
        <sz val="12"/>
        <color rgb="FF000000"/>
        <rFont val="Arial"/>
        <family val="2"/>
      </rPr>
      <t>Dr. Heiko Arnold</t>
    </r>
    <r>
      <rPr>
        <sz val="12"/>
        <color rgb="FF000000"/>
        <rFont val="Arial"/>
        <family val="2"/>
      </rPr>
      <t xml:space="preserve">
COO Custom Smelting &amp; Products
Vorstand vom 15.08.2020 bis zum 30.04.2024</t>
    </r>
  </si>
  <si>
    <r>
      <rPr>
        <b/>
        <sz val="12"/>
        <color rgb="FF000000"/>
        <rFont val="Arial"/>
        <family val="2"/>
      </rPr>
      <t>Rainer Verhoeven</t>
    </r>
    <r>
      <rPr>
        <sz val="12"/>
        <color rgb="FF000000"/>
        <rFont val="Arial"/>
        <family val="2"/>
      </rPr>
      <t xml:space="preserve">
Chief Financial Officer
Vorstand vom 01.01.2018 bis zum 30.06.2024</t>
    </r>
  </si>
  <si>
    <r>
      <t>Schlusskurs am Geschäftsjahresende</t>
    </r>
    <r>
      <rPr>
        <vertAlign val="superscript"/>
        <sz val="12"/>
        <color rgb="FF000000"/>
        <rFont val="Arial"/>
        <family val="2"/>
      </rPr>
      <t>1</t>
    </r>
  </si>
  <si>
    <r>
      <t>Jahreshöchstkurs (Schlusskurs)</t>
    </r>
    <r>
      <rPr>
        <vertAlign val="superscript"/>
        <sz val="12"/>
        <color rgb="FF000000"/>
        <rFont val="Arial"/>
        <family val="2"/>
      </rPr>
      <t>1</t>
    </r>
  </si>
  <si>
    <r>
      <t>Marktkapitalisierung am Geschäftsjahresende</t>
    </r>
    <r>
      <rPr>
        <vertAlign val="superscript"/>
        <sz val="12"/>
        <color rgb="FF000000"/>
        <rFont val="Arial"/>
        <family val="2"/>
      </rPr>
      <t>1</t>
    </r>
  </si>
  <si>
    <r>
      <t>Jahrestiefstkurs (Schlusskurs)</t>
    </r>
    <r>
      <rPr>
        <vertAlign val="superscript"/>
        <sz val="12"/>
        <color rgb="FF000000"/>
        <rFont val="Arial"/>
        <family val="2"/>
      </rPr>
      <t>1</t>
    </r>
  </si>
  <si>
    <t>Umwelt-verschmutzung</t>
  </si>
  <si>
    <t>Mindestschutz</t>
  </si>
  <si>
    <t>Klimaschutz</t>
  </si>
  <si>
    <t>Umsatzanteil, _x000B_GJ 2024/25</t>
  </si>
  <si>
    <t>Anpassung 
an den 
Klimawandel</t>
  </si>
  <si>
    <t>Anpassung 
an den
 Klimawandel</t>
  </si>
  <si>
    <t>Anteil taxonomie-konformer (A.1) oder taxonomie-fähiger (A.2) 
Umsatz, GJ  2023/24</t>
  </si>
  <si>
    <t>Kategorie
 ermöglichende Tätigkeit</t>
  </si>
  <si>
    <t>Kategorie 
Übergangs-tätigkeit</t>
  </si>
  <si>
    <t>OpEx-Anteil, 
GJ 2024/25</t>
  </si>
  <si>
    <t>Anteil taxonomie-konformer (A.1) oder taxonomie-fähiger (A.2)
 OpEx, GJ  2023/24</t>
  </si>
  <si>
    <t>Kategorie 
ermöglichende Tätigkeit</t>
  </si>
  <si>
    <t>Kategorie
Übergangs-tätigkeit</t>
  </si>
  <si>
    <t>CapEx-Anteil, _x000B_GJ 2024/25</t>
  </si>
  <si>
    <t>Anteil taxonomie-konformer (A.1) oder taxonomie-fähiger (A.2)
 CapEx, GJ  2023/24</t>
  </si>
  <si>
    <r>
      <t>5/6</t>
    </r>
    <r>
      <rPr>
        <vertAlign val="superscript"/>
        <sz val="12"/>
        <color rgb="FF000000"/>
        <rFont val="Arial"/>
        <family val="2"/>
      </rPr>
      <t>1</t>
    </r>
  </si>
  <si>
    <t>Personal-/Vergütungsausschuss</t>
  </si>
  <si>
    <t xml:space="preserve">Prüfungsausschuss (Audit Committee) </t>
  </si>
  <si>
    <t xml:space="preserve">Nominierungsausschuss </t>
  </si>
  <si>
    <t xml:space="preserve">Vermittlungsausschuss </t>
  </si>
  <si>
    <r>
      <t>3/5</t>
    </r>
    <r>
      <rPr>
        <vertAlign val="superscript"/>
        <sz val="12"/>
        <color rgb="FF000000"/>
        <rFont val="Arial"/>
        <family val="2"/>
      </rPr>
      <t>1</t>
    </r>
  </si>
  <si>
    <r>
      <t>2/3</t>
    </r>
    <r>
      <rPr>
        <vertAlign val="superscript"/>
        <sz val="12"/>
        <color rgb="FF000000"/>
        <rFont val="Arial"/>
        <family val="2"/>
      </rPr>
      <t>1</t>
    </r>
  </si>
  <si>
    <t>Einjährige variable Vergütung (20–25 %)</t>
  </si>
  <si>
    <t>Mehrjährige variable Vergütung (30–35 %)</t>
  </si>
  <si>
    <t>Grundbezüge 
(30–35 %)</t>
  </si>
  <si>
    <t xml:space="preserve">Pensionszusagen 
(10–15 %) </t>
  </si>
  <si>
    <t>Nebenleistungen 
(2–5 %)</t>
  </si>
  <si>
    <t>Maximalvergütung gemäß § 87a AktG</t>
  </si>
  <si>
    <t>Vorzeitige Beendigung der Vorstandstätigkeit</t>
  </si>
  <si>
    <t>Variable 
Vergütung</t>
  </si>
  <si>
    <r>
      <rPr>
        <vertAlign val="superscript"/>
        <sz val="10"/>
        <color rgb="FF000000"/>
        <rFont val="Arial"/>
        <family val="2"/>
      </rPr>
      <t>1</t>
    </r>
    <r>
      <rPr>
        <sz val="10"/>
        <color rgb="FF000000"/>
        <rFont val="Arial"/>
        <family val="2"/>
      </rPr>
      <t xml:space="preserve"> Inkl. Agentur/Selbstständige Vertriebsmitarbeiter.</t>
    </r>
  </si>
  <si>
    <t>Bereinigungseffekte</t>
  </si>
  <si>
    <t>Erläuterungen zur Darstellung und zu den Bereinigungseffekten finden sich unter Ertrags-, Vermögens- und Finanzlage des Aurubis-Konzerns.</t>
  </si>
  <si>
    <r>
      <t xml:space="preserve">Basierend auf jährlicher Selbsteinschätzung des Aufsichtsrats. 
Ein Haken bedeutet zumindest gute Kenntnisse (2) auf einer Skala von 1 (sehr gute Kenntnisse) bis 6 (keine Kenntnisse).
</t>
    </r>
    <r>
      <rPr>
        <vertAlign val="superscript"/>
        <sz val="10"/>
        <color rgb="FF1D1D1D"/>
        <rFont val="Arial"/>
        <family val="2"/>
      </rPr>
      <t>1</t>
    </r>
    <r>
      <rPr>
        <sz val="10"/>
        <color rgb="FF1D1D1D"/>
        <rFont val="Arial"/>
        <family val="2"/>
      </rPr>
      <t xml:space="preserve"> Von der Belegschaft gewählt.
</t>
    </r>
    <r>
      <rPr>
        <vertAlign val="superscript"/>
        <sz val="10"/>
        <color rgb="FF1D1D1D"/>
        <rFont val="Arial"/>
        <family val="2"/>
      </rPr>
      <t>2</t>
    </r>
    <r>
      <rPr>
        <sz val="10"/>
        <color rgb="FF1D1D1D"/>
        <rFont val="Arial"/>
        <family val="2"/>
      </rPr>
      <t xml:space="preserve"> CEO des Mehrheitsaktionärs Salzgitter AG, unabhängig im Sinne von C.7 DCGK.</t>
    </r>
  </si>
  <si>
    <r>
      <rPr>
        <vertAlign val="superscript"/>
        <sz val="10"/>
        <color rgb="FF1D1D1D"/>
        <rFont val="Arial"/>
        <family val="2"/>
      </rPr>
      <t>1</t>
    </r>
    <r>
      <rPr>
        <sz val="10"/>
        <color rgb="FF1D1D1D"/>
        <rFont val="Arial"/>
        <family val="2"/>
      </rPr>
      <t xml:space="preserve"> Herr Koltze konnte krankheitsbedingt an den Sitzungen nicht teilnehmen.</t>
    </r>
  </si>
  <si>
    <t>50,0</t>
  </si>
  <si>
    <t>100,0</t>
  </si>
  <si>
    <t>150,0</t>
  </si>
  <si>
    <t>82,2</t>
  </si>
  <si>
    <t xml:space="preserve"> Gemäß Vergütungssystem wurde die Auszahlung auf 150 % des Ausgangswerts begrenzt.</t>
  </si>
  <si>
    <t>6,0</t>
  </si>
  <si>
    <t>12,0</t>
  </si>
  <si>
    <t>15,0</t>
  </si>
  <si>
    <t>125,0</t>
  </si>
  <si>
    <t>12,7</t>
  </si>
  <si>
    <t>105,4</t>
  </si>
  <si>
    <r>
      <rPr>
        <vertAlign val="superscript"/>
        <sz val="10"/>
        <color rgb="FF1D1D1D"/>
        <rFont val="Arial"/>
        <family val="2"/>
      </rPr>
      <t xml:space="preserve">1  </t>
    </r>
    <r>
      <rPr>
        <sz val="10"/>
        <color rgb="FF1D1D1D"/>
        <rFont val="Arial"/>
        <family val="2"/>
      </rPr>
      <t xml:space="preserve">Prozentzahlen wurden kaufmännisch gerundet.
</t>
    </r>
    <r>
      <rPr>
        <vertAlign val="superscript"/>
        <sz val="10"/>
        <color rgb="FF1D1D1D"/>
        <rFont val="Arial"/>
        <family val="2"/>
      </rPr>
      <t xml:space="preserve">2  </t>
    </r>
    <r>
      <rPr>
        <sz val="10"/>
        <color rgb="FF1D1D1D"/>
        <rFont val="Arial"/>
        <family val="2"/>
      </rPr>
      <t xml:space="preserve">Anteilige Vergütung für die Dauer des Dienstvertrags.
</t>
    </r>
    <r>
      <rPr>
        <vertAlign val="superscript"/>
        <sz val="10"/>
        <color rgb="FF1D1D1D"/>
        <rFont val="Arial"/>
        <family val="2"/>
      </rPr>
      <t>3</t>
    </r>
    <r>
      <rPr>
        <sz val="10"/>
        <color rgb="FF1D1D1D"/>
        <rFont val="Arial"/>
        <family val="2"/>
      </rPr>
      <t xml:space="preserve"> Tim Kurth war bis zum 30.09.2025 auch Vorstand der Aurubis Bulgaria. Ein geringer Teil seiner Grundbezüge wurde daher von der Aurubis Bulgaria übernommen.</t>
    </r>
  </si>
  <si>
    <r>
      <rPr>
        <vertAlign val="superscript"/>
        <sz val="10"/>
        <color rgb="FF1D1D1D"/>
        <rFont val="Arial"/>
        <family val="2"/>
      </rPr>
      <t>1</t>
    </r>
    <r>
      <rPr>
        <sz val="10"/>
        <color rgb="FF1D1D1D"/>
        <rFont val="Arial"/>
        <family val="2"/>
      </rPr>
      <t xml:space="preserve"> Prozentzahlen wurden kaufmännisch gerundet.
</t>
    </r>
    <r>
      <rPr>
        <vertAlign val="superscript"/>
        <sz val="10"/>
        <color rgb="FF1D1D1D"/>
        <rFont val="Arial"/>
        <family val="2"/>
      </rPr>
      <t>2</t>
    </r>
    <r>
      <rPr>
        <sz val="10"/>
        <color rgb="FF1D1D1D"/>
        <rFont val="Arial"/>
        <family val="2"/>
      </rPr>
      <t xml:space="preserve"> Anteilige Vergütung für die Dauer des Dienstvertrags.
</t>
    </r>
    <r>
      <rPr>
        <vertAlign val="superscript"/>
        <sz val="10"/>
        <color rgb="FF1D1D1D"/>
        <rFont val="Arial"/>
        <family val="2"/>
      </rPr>
      <t>3</t>
    </r>
    <r>
      <rPr>
        <sz val="10"/>
        <color rgb="FF1D1D1D"/>
        <rFont val="Arial"/>
        <family val="2"/>
      </rPr>
      <t xml:space="preserve"> Steffen Alexander Hoffmann erhält gemäß Dienstvereinbarung eine Einmalzahlung für Verluste aus seinen Vergütungsplänen seines ehemaligen Arbeitgebers, die sich durch den Wechsel zur Aurubis AG realisiert haben.
</t>
    </r>
    <r>
      <rPr>
        <vertAlign val="superscript"/>
        <sz val="10"/>
        <color rgb="FF1D1D1D"/>
        <rFont val="Arial"/>
        <family val="2"/>
      </rPr>
      <t>4</t>
    </r>
    <r>
      <rPr>
        <sz val="10"/>
        <color rgb="FF1D1D1D"/>
        <rFont val="Arial"/>
        <family val="2"/>
      </rPr>
      <t xml:space="preserve"> Tim Kurth war bis zum 30.09.2025 auch Vorstand der Aurubis Bulgaria. Ein geringer Teil seiner Grundbezüge wurde daher von der Aurubis Bulgaria übernommen.</t>
    </r>
  </si>
  <si>
    <r>
      <rPr>
        <vertAlign val="superscript"/>
        <sz val="10"/>
        <color rgb="FF1D1D1D"/>
        <rFont val="Arial"/>
        <family val="2"/>
      </rPr>
      <t xml:space="preserve">1 </t>
    </r>
    <r>
      <rPr>
        <sz val="10"/>
        <color rgb="FF1D1D1D"/>
        <rFont val="Arial"/>
        <family val="2"/>
      </rPr>
      <t>Prozentzahlen wurden kaufmännisch gerundet.</t>
    </r>
  </si>
  <si>
    <r>
      <rPr>
        <vertAlign val="superscript"/>
        <sz val="10"/>
        <color rgb="FF1D1D1D"/>
        <rFont val="Arial"/>
        <family val="2"/>
      </rPr>
      <t xml:space="preserve">1 </t>
    </r>
    <r>
      <rPr>
        <sz val="10"/>
        <color rgb="FF1D1D1D"/>
        <rFont val="Arial"/>
        <family val="2"/>
      </rPr>
      <t xml:space="preserve">Prozentzahlen wurden kaufmännisch gerundet.
</t>
    </r>
    <r>
      <rPr>
        <vertAlign val="superscript"/>
        <sz val="10"/>
        <color rgb="FF1D1D1D"/>
        <rFont val="Arial"/>
        <family val="2"/>
      </rPr>
      <t>2</t>
    </r>
    <r>
      <rPr>
        <sz val="10"/>
        <color rgb="FF1D1D1D"/>
        <rFont val="Arial"/>
        <family val="2"/>
      </rPr>
      <t xml:space="preserve"> Prof. Dr. Markus Kramer wurde vom 01.03.2024 bis 30.09.2024 vom Aufsichtsrat in den Vorstand entsandt und erhält daher nur eine anteilige Aufsichtsratsvergütung für den Zeitraum bis zum 29.02.2024.</t>
    </r>
  </si>
  <si>
    <r>
      <t xml:space="preserve">Gerundete Zahlen.  
</t>
    </r>
    <r>
      <rPr>
        <vertAlign val="superscript"/>
        <sz val="10"/>
        <color rgb="FF1D1D1D"/>
        <rFont val="Arial"/>
        <family val="2"/>
      </rPr>
      <t xml:space="preserve">1 </t>
    </r>
    <r>
      <rPr>
        <sz val="10"/>
        <color rgb="FF1D1D1D"/>
        <rFont val="Arial"/>
        <family val="2"/>
      </rPr>
      <t xml:space="preserve">Die deutliche Veränderung der Gesamtvergütung bei den Vorständen Dr. Toralf Haag und Tim Kurth im Vergleich zum Vorjahr resultiert aus der unterjährigen Bestellung im Geschäftsjahr 2023/24.
</t>
    </r>
    <r>
      <rPr>
        <vertAlign val="superscript"/>
        <sz val="10"/>
        <color rgb="FF1D1D1D"/>
        <rFont val="Arial"/>
        <family val="2"/>
      </rPr>
      <t xml:space="preserve">2 </t>
    </r>
    <r>
      <rPr>
        <sz val="10"/>
        <color rgb="FF1D1D1D"/>
        <rFont val="Arial"/>
        <family val="2"/>
      </rPr>
      <t>Prof. Dr. Markus Kramer wurde vom 01.03.2024 bis 30.09.2024 vom Aufsichtsrat in den Vorstand entsandt und erhält daher nur eine anteilige Aufsichtsratsvergütung für den Zeitraum bis zum 29.02.2024.</t>
    </r>
  </si>
  <si>
    <r>
      <rPr>
        <vertAlign val="superscript"/>
        <sz val="10"/>
        <color rgb="FF1D1D1D"/>
        <rFont val="Arial"/>
        <family val="2"/>
      </rPr>
      <t>1</t>
    </r>
    <r>
      <rPr>
        <sz val="10"/>
        <color rgb="FF1D1D1D"/>
        <rFont val="Arial"/>
        <family val="2"/>
      </rPr>
      <t xml:space="preserve"> Xetra-Angaben. </t>
    </r>
  </si>
  <si>
    <t>1.021</t>
  </si>
  <si>
    <t>Die Kennzahlen beziehen sich auf Festanstellungen und befristete Arbeitsverhältnisse auf den Stichtag 30.09.2025. 
Ohne At Equity konsolidierte Gesellschaften. 
Standorte ohne Mitarbeiter werden nicht aufgeführt. 
Konzernrepräsentanzen sind nicht gesondert aufgelistet.</t>
  </si>
  <si>
    <t>Vertriebs-netzwerk</t>
  </si>
  <si>
    <r>
      <rPr>
        <sz val="10"/>
        <color rgb="FF000000"/>
        <rFont val="Arial"/>
        <family val="2"/>
      </rPr>
      <t xml:space="preserve">	</t>
    </r>
    <r>
      <rPr>
        <vertAlign val="superscript"/>
        <sz val="10"/>
        <color rgb="FF000000"/>
        <rFont val="Arial"/>
        <family val="2"/>
      </rPr>
      <t>1</t>
    </r>
    <r>
      <rPr>
        <sz val="10"/>
        <color rgb="FF1D1D1D"/>
        <rFont val="Arial"/>
        <family val="2"/>
      </rPr>
      <t xml:space="preserve">Unfälle mit Zeitausfall von mindestens einer Schicht, inkl. Todesfälle. Minderheitsbeteiligungen sind nicht inkludiert. Bis 30.08.2024 Aurubis Buffalo und ab 01.10.2022 Aurubis Richmond inkludiert.
</t>
    </r>
    <r>
      <rPr>
        <sz val="10"/>
        <color rgb="FF000000"/>
        <rFont val="Arial"/>
        <family val="2"/>
      </rPr>
      <t xml:space="preserve">	</t>
    </r>
    <r>
      <rPr>
        <vertAlign val="superscript"/>
        <sz val="10"/>
        <color rgb="FF000000"/>
        <rFont val="Arial"/>
        <family val="2"/>
      </rPr>
      <t>2</t>
    </r>
    <r>
      <rPr>
        <sz val="10"/>
        <color rgb="FF1D1D1D"/>
        <rFont val="Arial"/>
        <family val="2"/>
      </rPr>
      <t>LTI und LTIFR beziehen sich auf Aurubis-Mitarbeiter, Leiharbeitnehmer und beauftragte Partnerfirmen.</t>
    </r>
  </si>
  <si>
    <r>
      <rPr>
        <vertAlign val="superscript"/>
        <sz val="10"/>
        <color rgb="FF000000"/>
        <rFont val="Arial"/>
        <family val="2"/>
      </rPr>
      <t>1</t>
    </r>
    <r>
      <rPr>
        <sz val="10"/>
        <color rgb="FF000000"/>
        <rFont val="Arial"/>
        <family val="2"/>
      </rPr>
      <t>(-) Guthaben/(+) Verschuldung.</t>
    </r>
  </si>
  <si>
    <r>
      <rPr>
        <sz val="12"/>
        <color rgb="FF1D1D1D"/>
        <rFont val="Arial"/>
        <family val="2"/>
      </rPr>
      <t>Finanzverbindlichkeiten</t>
    </r>
  </si>
  <si>
    <r>
      <rPr>
        <vertAlign val="superscript"/>
        <sz val="10"/>
        <color rgb="FF000000"/>
        <rFont val="Arial"/>
        <family val="2"/>
      </rPr>
      <t>1</t>
    </r>
    <r>
      <rPr>
        <sz val="10"/>
        <color rgb="FF000000"/>
        <rFont val="Arial"/>
        <family val="2"/>
      </rPr>
      <t>Vorjahreszahlen angepasst</t>
    </r>
  </si>
  <si>
    <r>
      <rPr>
        <vertAlign val="superscript"/>
        <sz val="10"/>
        <color rgb="FF000000"/>
        <rFont val="Arial"/>
        <family val="2"/>
      </rPr>
      <t>1</t>
    </r>
    <r>
      <rPr>
        <sz val="10"/>
        <color rgb="FF000000"/>
        <rFont val="Arial"/>
        <family val="2"/>
      </rPr>
      <t xml:space="preserve"> </t>
    </r>
    <r>
      <rPr>
        <sz val="10"/>
        <color rgb="FF1D1D1D"/>
        <rFont val="Arial"/>
        <family val="2"/>
      </rPr>
      <t>Inkludiert Biomasse (auch Industrie- und Siedlungsabfälle biologischen Ursprungs), Biokraftstoffe, Biogas, Wasserstoff aus erneuerbaren Quellen.</t>
    </r>
  </si>
  <si>
    <r>
      <rPr>
        <vertAlign val="superscript"/>
        <sz val="10"/>
        <color rgb="FF1D1D1D"/>
        <rFont val="Arial"/>
        <family val="2"/>
      </rPr>
      <t xml:space="preserve">1 </t>
    </r>
    <r>
      <rPr>
        <sz val="10"/>
        <color rgb="FF1D1D1D"/>
        <rFont val="Arial"/>
        <family val="2"/>
      </rPr>
      <t xml:space="preserve">Den Fortschritt hinsichtlich der Zielerreichung stellen wir im Kapitel E1-4 auf Kalenderjahresbasis detaillierter dar.
</t>
    </r>
    <r>
      <rPr>
        <vertAlign val="superscript"/>
        <sz val="10"/>
        <color rgb="FF1D1D1D"/>
        <rFont val="Arial"/>
        <family val="2"/>
      </rPr>
      <t>2</t>
    </r>
    <r>
      <rPr>
        <sz val="10"/>
        <color rgb="FF1D1D1D"/>
        <rFont val="Arial"/>
        <family val="2"/>
      </rPr>
      <t xml:space="preserve"> Bezieht sich auf die hauseigene Kupferkathode. 
</t>
    </r>
    <r>
      <rPr>
        <vertAlign val="superscript"/>
        <sz val="10"/>
        <color rgb="FF1D1D1D"/>
        <rFont val="Arial"/>
        <family val="2"/>
      </rPr>
      <t xml:space="preserve">3 </t>
    </r>
    <r>
      <rPr>
        <sz val="10"/>
        <color rgb="FF1D1D1D"/>
        <rFont val="Arial"/>
        <family val="2"/>
      </rPr>
      <t>Die Berechnung der THG-Intensität pro Nettoumsatzerlösen unterliegt denselben Annahmen wie die Berechnung der Energieintensität pro Nettoerlös, dargelegt in E1-5.</t>
    </r>
  </si>
  <si>
    <r>
      <rPr>
        <vertAlign val="superscript"/>
        <sz val="10"/>
        <color rgb="FF1D1D1D"/>
        <rFont val="Arial"/>
        <family val="2"/>
      </rPr>
      <t>1</t>
    </r>
    <r>
      <rPr>
        <sz val="10"/>
        <color rgb="FF1D1D1D"/>
        <rFont val="Arial"/>
        <family val="2"/>
      </rPr>
      <t xml:space="preserve"> Das Verhältnis von Primär- und Sekundärressourcenzuflüssen kann nicht mit der Recyclingquote, bspw. der Kathode verglichen werden. Der höhere Ressourcenzufluss aus primären Quellen (Konzentrate) ergibt sich aus dem im Schnitt geringeren Kupfergehalt im Vergleich zu sekundären Quellen (Recyclingmaterial).</t>
    </r>
  </si>
  <si>
    <r>
      <rPr>
        <vertAlign val="superscript"/>
        <sz val="10"/>
        <color rgb="FF1D1D1D"/>
        <rFont val="Arial"/>
        <family val="2"/>
      </rPr>
      <t>1</t>
    </r>
    <r>
      <rPr>
        <sz val="10"/>
        <color rgb="FF1D1D1D"/>
        <rFont val="Arial"/>
        <family val="2"/>
      </rPr>
      <t xml:space="preserve"> Derzeit erfassen wir im Unternehmen global ein drittes Geschlecht nicht. Wir werden die Relevanz der Kategorie für die zukünftige externe Berichterstattung prüfen.</t>
    </r>
  </si>
  <si>
    <r>
      <rPr>
        <vertAlign val="superscript"/>
        <sz val="10"/>
        <color rgb="FF1D1D1D"/>
        <rFont val="Arial"/>
        <family val="2"/>
      </rPr>
      <t>1</t>
    </r>
    <r>
      <rPr>
        <sz val="10"/>
        <color rgb="FF1D1D1D"/>
        <rFont val="Arial"/>
        <family val="2"/>
      </rPr>
      <t xml:space="preserve"> Aurubis beschäftigt nur Arbeitnehmer mit garantierten Arbeitsstunden.                                                                                                    </t>
    </r>
    <r>
      <rPr>
        <sz val="10"/>
        <color rgb="FF000000"/>
        <rFont val="Arial"/>
        <family val="2"/>
      </rPr>
      <t xml:space="preserve">                                                     </t>
    </r>
    <r>
      <rPr>
        <vertAlign val="superscript"/>
        <sz val="10"/>
        <color rgb="FF000000"/>
        <rFont val="Arial"/>
        <family val="2"/>
      </rPr>
      <t>2</t>
    </r>
    <r>
      <rPr>
        <sz val="10"/>
        <color rgb="FF000000"/>
        <rFont val="Arial"/>
        <family val="2"/>
      </rPr>
      <t xml:space="preserve"> Derzeit erfassen wir im Unternehmen global ein drittes Geschlecht nicht. Wir werden die Relevanz der Kategorie für die zukünftige externe Berichterstattung prüfen.</t>
    </r>
  </si>
  <si>
    <r>
      <rPr>
        <sz val="10"/>
        <color rgb="FF000000"/>
        <rFont val="Arial"/>
        <family val="2"/>
      </rPr>
      <t xml:space="preserve">	</t>
    </r>
    <r>
      <rPr>
        <vertAlign val="superscript"/>
        <sz val="10"/>
        <color rgb="FF000000"/>
        <rFont val="Arial"/>
        <family val="2"/>
      </rPr>
      <t>1</t>
    </r>
    <r>
      <rPr>
        <sz val="10"/>
        <color rgb="FF1D1D1D"/>
        <rFont val="Arial"/>
        <family val="2"/>
      </rPr>
      <t xml:space="preserve">Beinhaltet alle an Aurubis-Standorten tätigen Arbeitnehmer. Zeitarbeitnehmer stehen in einem Arbeitsverhältnis mit der Zeitarbeitsfirma und nicht direkt mit Aurubis. Die Weisungsbefugnis geht auf den Entleiher (Aurubis) über, der für Gesundheit und Sicherheit verantwortlich ist. Ein Mitarbeiter von Fremdfirmen hingegen ist eine Person, die direkt bei einer juristischen Person beschäftigt ist und beauftragt wird, im Auftrag von Aurubis Arbeiten auszuführen oder Waren zu liefern. </t>
    </r>
  </si>
  <si>
    <r>
      <rPr>
        <vertAlign val="superscript"/>
        <sz val="10"/>
        <color rgb="FF1D1D1D"/>
        <rFont val="Arial"/>
        <family val="2"/>
      </rPr>
      <t>2</t>
    </r>
    <r>
      <rPr>
        <sz val="10"/>
        <color rgb="FF1D1D1D"/>
        <rFont val="Arial"/>
        <family val="2"/>
      </rPr>
      <t xml:space="preserve"> Meldepflichtige Arbeitsunfälle umfassen im Sinne der ESRS alle arbeitsbezogenen Vorfälle, die zu Verletzungen oder Erkrankungen führen und eine medizinische Behandlung über die Erste Hilfe hinaus und/oder einen Arbeitsausfall erfordern. Die deutsche Definition von „meldepflichtigen Unfällen/Ereignissen“ (Unfälle mit Personenschaden und mehr als drei ausgefallenen Arbeitsschichten) unterscheidet sich von der internationalen Definition der „Recordable Incidents/Accidents“ und ist daher nicht direkt damit gleichzusetzen.</t>
    </r>
  </si>
  <si>
    <r>
      <rPr>
        <vertAlign val="superscript"/>
        <sz val="10"/>
        <color rgb="FF1D1D1D"/>
        <rFont val="Arial"/>
        <family val="2"/>
      </rPr>
      <t>3</t>
    </r>
    <r>
      <rPr>
        <sz val="10"/>
        <color rgb="FF1D1D1D"/>
        <rFont val="Arial"/>
        <family val="2"/>
      </rPr>
      <t xml:space="preserve"> Meldepflichtige Arbeitsunfälle pro 1 Mio. gearbeiteter Stunden.</t>
    </r>
  </si>
  <si>
    <t>18,9</t>
  </si>
  <si>
    <t>22,7</t>
  </si>
  <si>
    <t>12,8</t>
  </si>
  <si>
    <t>Merkmale der Arbeitnehmer des Unternehmens</t>
  </si>
  <si>
    <t>Tarifvertragliche Abdeckung und sozialer Dialog</t>
  </si>
  <si>
    <t>Vorfälle, Beschwerden und schwerwiegende Auswirkungen im Zusammenhang mit Menschenrechten</t>
  </si>
  <si>
    <r>
      <rPr>
        <vertAlign val="superscript"/>
        <sz val="10"/>
        <color rgb="FF000000"/>
        <rFont val="Arial"/>
        <family val="2"/>
      </rPr>
      <t>1</t>
    </r>
    <r>
      <rPr>
        <sz val="10"/>
        <color rgb="FF1D1D1D"/>
        <rFont val="Arial"/>
        <family val="2"/>
      </rPr>
      <t>Wir berücksichtigen auch Beschwerden, die bei den Nationalen Kontaktstellen für multinationale OECD-Unternehmen zu definierten Themen eingereicht wurden, wobei bereits gemeldete Fälle ausgeschlossen sind. Im Geschäftsjahr 2024/25 sind keine Beschwerden eingegangen.</t>
    </r>
  </si>
  <si>
    <t>100</t>
  </si>
  <si>
    <r>
      <rPr>
        <sz val="10"/>
        <color rgb="FF1D1D1D"/>
        <rFont val="Arial"/>
        <family val="2"/>
      </rPr>
      <t>J – Ja, taxonomiefähige und mit dem relevanten Umweltziel taxonomiekonforme Tätigkeit; N – Nein, taxonomiefähige, aber mit dem relevanten Umweltziel nicht taxonomiekonforme Tätigkeit; N/EL – „not eligible”, für das jeweilige Umweltziel nicht taxonomiefähige Tätigkeit</t>
    </r>
  </si>
  <si>
    <t>Erwerb von und Eigentum an Gebäuden</t>
  </si>
  <si>
    <t>1</t>
  </si>
  <si>
    <t>17</t>
  </si>
  <si>
    <t>18</t>
  </si>
  <si>
    <t>19</t>
  </si>
  <si>
    <t>81</t>
  </si>
  <si>
    <t>10</t>
  </si>
  <si>
    <r>
      <rPr>
        <vertAlign val="superscript"/>
        <sz val="10"/>
        <color rgb="FF1D1D1D"/>
        <rFont val="Arial"/>
        <family val="2"/>
      </rPr>
      <t>1</t>
    </r>
    <r>
      <rPr>
        <sz val="10"/>
        <color rgb="FF1D1D1D"/>
        <rFont val="Arial"/>
        <family val="2"/>
      </rPr>
      <t xml:space="preserve"> Im Geschäftsjahr 2024/25 sind keine taxonomiekonformen Umsätze vorhanden.</t>
    </r>
  </si>
  <si>
    <r>
      <rPr>
        <vertAlign val="superscript"/>
        <sz val="10"/>
        <color rgb="FF1D1D1D"/>
        <rFont val="Arial"/>
        <family val="2"/>
      </rPr>
      <t>1</t>
    </r>
    <r>
      <rPr>
        <sz val="10"/>
        <color rgb="FF1D1D1D"/>
        <rFont val="Arial"/>
        <family val="2"/>
      </rPr>
      <t xml:space="preserve"> Im Geschäftsjahr 2024/25 sind keine taxonomiekonformen OpEx vorhanden.</t>
    </r>
  </si>
  <si>
    <t>a) Zugänge bei Sachanlagen, bei selbst geschaffenen immateriellen Vermögenswerten, auch im Rahmen eines Unternehmenszusammenschlusses oder durch Erwerb, bei als Finanzinvestition gehaltenen Immobilien, die zum Buchwert erworben oder angesetzt wurden, und, sofern zutreffend, bei kapitalisierten Nutzungsrechten an Vermögenswerten</t>
  </si>
  <si>
    <t>b) Zugänge, die aus einem Erwerb im Rahmen von Unternehmens- zusammenschlüssen resultieren</t>
  </si>
  <si>
    <r>
      <rPr>
        <sz val="12"/>
        <color rgb="FF1D1D1D"/>
        <rFont val="Arial"/>
        <family val="2"/>
      </rPr>
      <t>Einzahlungen aus dem Verkauf von Tochterunternehmen und anderen Geschäftseinheiten (abzgl. abgegebener Zahlungsmittel)</t>
    </r>
  </si>
  <si>
    <t>8,8</t>
  </si>
  <si>
    <t>11,5</t>
  </si>
  <si>
    <t>11,3</t>
  </si>
  <si>
    <t>19,0</t>
  </si>
  <si>
    <t>16,6</t>
  </si>
  <si>
    <r>
      <rPr>
        <sz val="12"/>
        <color rgb="FF0076A8"/>
        <rFont val="Arial"/>
        <family val="2"/>
      </rPr>
      <t xml:space="preserve">» </t>
    </r>
    <r>
      <rPr>
        <sz val="12"/>
        <color rgb="FF000000"/>
        <rFont val="Arial"/>
        <family val="2"/>
      </rPr>
      <t xml:space="preserve">Effektive Umsetzung der Seven Security Cluster zur Edelmetallverarbeitung sowie zur Rohstoffvorverarbeitung und -probenahme („Lab &amp; Sampling“
</t>
    </r>
    <r>
      <rPr>
        <sz val="12"/>
        <color rgb="FF0076A8"/>
        <rFont val="Arial"/>
        <family val="2"/>
      </rPr>
      <t xml:space="preserve">» </t>
    </r>
    <r>
      <rPr>
        <sz val="12"/>
        <color rgb="FF000000"/>
        <rFont val="Arial"/>
        <family val="2"/>
      </rPr>
      <t>Umsetzung aller relevanten SAFE-Maßnahmen)</t>
    </r>
  </si>
  <si>
    <r>
      <t>Energieintensität pro Nettoerlös</t>
    </r>
    <r>
      <rPr>
        <b/>
        <vertAlign val="superscript"/>
        <sz val="16"/>
        <color rgb="FF000000"/>
        <rFont val="Arial"/>
        <family val="2"/>
      </rPr>
      <t>1</t>
    </r>
  </si>
  <si>
    <r>
      <rPr>
        <vertAlign val="superscript"/>
        <sz val="10"/>
        <color rgb="FF1D1D1D"/>
        <rFont val="Arial"/>
        <family val="2"/>
      </rPr>
      <t>1</t>
    </r>
    <r>
      <rPr>
        <sz val="10"/>
        <color rgb="FF1D1D1D"/>
        <rFont val="Arial"/>
        <family val="2"/>
      </rPr>
      <t xml:space="preserve"> In der Finanzberichterstattung wird keine Segmentierung der Umsatzerlöse gemäß NACE-Codes vorgenommen. Daher basieren wir die Berechnung der Kennzahl auf den gesamten Umsatzerlösen. Aurubis betrachtet diese Kennzahl als nicht steuerungsrelevant, da sie weder die spezifischen Anforderungen des Geschäftsmodells abbildet noch eine aussagekräftige Vergleichbarkeit über verschiedene Zeiträume hinweg gewährleistet. Die Berechnung basiert auf den im Konzernabschluss angegebenen Umsatzerlösen, sieh</t>
    </r>
    <r>
      <rPr>
        <sz val="10"/>
        <color theme="1"/>
        <rFont val="Arial"/>
        <family val="2"/>
      </rPr>
      <t>e Konzernabschluss, Kapitel Konzern-Gewinn-und-Verlustrechnung.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</si>
</sst>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0;&quot;-&quot;#0;#0;_(@_)"/>
    <numFmt numFmtId="165" formatCode="* #,##0.0;* \(#,##0.0\);* &quot;—&quot;;_(@_)"/>
    <numFmt numFmtId="166" formatCode="#0.0_)%;\(#0.0\)%;&quot;—&quot;_)\%;_(@_)"/>
    <numFmt numFmtId="167" formatCode="#0_)%;\(#0\)%;&quot;—&quot;_)\%;_(@_)"/>
    <numFmt numFmtId="168" formatCode="#0_)%;\(#0\)%;#0_)%;_(@_)"/>
    <numFmt numFmtId="169" formatCode="* #,##0;* \(#,##0\);* &quot;—&quot;;_(@_)"/>
    <numFmt numFmtId="170" formatCode="#0.0%_);\(#0.0%\);&quot;&quot;\%_);_(@_)"/>
    <numFmt numFmtId="171" formatCode="#0.0%_);\(#0.0%\);#0.0%_);_(@_)"/>
    <numFmt numFmtId="172" formatCode="* #,##0;* &quot;-&quot;#,##0;* #,##0;_(@_)"/>
    <numFmt numFmtId="173" formatCode="#,##0;&quot;-&quot;#,##0;#,##0;_(@_)"/>
    <numFmt numFmtId="174" formatCode="#,##0.00;&quot;-&quot;#,##0.00;#,##0.00;_(@_)"/>
    <numFmt numFmtId="175" formatCode="* #,##0.00;* \(#,##0.00\);* &quot;—&quot;;_(@_)"/>
    <numFmt numFmtId="176" formatCode="#0.0%;&quot;-&quot;#0.0%;#0.0%;_(@_)"/>
    <numFmt numFmtId="177" formatCode="#,##0;&quot;-&quot;#,##0;&quot;-&quot;;_(@_)"/>
    <numFmt numFmtId="178" formatCode="* #,##0.0;* &quot;-&quot;#,##0.0;* #,##0.0;_(@_)"/>
    <numFmt numFmtId="179" formatCode="* #,##0;* &quot;-&quot;#,##0;* &quot;—&quot;;_(@_)"/>
    <numFmt numFmtId="180" formatCode="* #,##0;* \(#,##0\);* #,##0;_(@_)"/>
    <numFmt numFmtId="181" formatCode="#,##0.0;&quot;-&quot;#,##0.0;#,##0.0;_(@_)"/>
    <numFmt numFmtId="182" formatCode="#,##0.000;&quot;-&quot;#,##0.000;#,##0.000;_(@_)"/>
    <numFmt numFmtId="183" formatCode="#0&quot; &quot;%_);\(#0&quot; &quot;%\);#0&quot; &quot;%_);_(@_)"/>
    <numFmt numFmtId="184" formatCode="* #,##0.00;* &quot;-&quot;#,##0.00;* #,##0.00;_(@_)"/>
  </numFmts>
  <fonts count="56">
    <font>
      <sz val="10"/>
      <name val="Arial"/>
    </font>
    <font>
      <sz val="9"/>
      <color rgb="FF000000"/>
      <name val="Kievit Pro"/>
    </font>
    <font>
      <sz val="9.5"/>
      <color rgb="FFFF0090"/>
      <name val="Arial"/>
      <family val="2"/>
    </font>
    <font>
      <sz val="11"/>
      <color rgb="FF3391B9"/>
      <name val="Kievit for Aurubis Medium"/>
    </font>
    <font>
      <sz val="9.5"/>
      <color rgb="FF3391B9"/>
      <name val="Kievit for Aurubis Medium"/>
    </font>
    <font>
      <sz val="8"/>
      <color rgb="FF1D1D1D"/>
      <name val="Kievit for Aurubis Light"/>
    </font>
    <font>
      <sz val="7.5"/>
      <color rgb="FF1D1D1D"/>
      <name val="Kievit for Aurubis Light"/>
    </font>
    <font>
      <sz val="7.5"/>
      <color rgb="FF1D1D1D"/>
      <name val="Kievit for Aurubis Medium"/>
    </font>
    <font>
      <i/>
      <sz val="16"/>
      <color rgb="FF1D1D1D"/>
      <name val="Kievit for Aurubis Regular"/>
    </font>
    <font>
      <sz val="9.5"/>
      <color rgb="FF0076A7"/>
      <name val="Kievit for Aurubis Book"/>
    </font>
    <font>
      <sz val="8.5"/>
      <color rgb="FF1D1D1D"/>
      <name val="Kievit for Aurubis Light"/>
    </font>
    <font>
      <sz val="8.5"/>
      <color rgb="FF0076A7"/>
      <name val="Kievit for Aurubis Regular"/>
    </font>
    <font>
      <sz val="9.5"/>
      <color rgb="FF1D1D1D"/>
      <name val="Kievit for Aurubis Light"/>
    </font>
    <font>
      <sz val="7.5"/>
      <color rgb="FF1D1D1D"/>
      <name val="Arial"/>
      <family val="2"/>
    </font>
    <font>
      <sz val="7.5"/>
      <color rgb="FF0076A7"/>
      <name val="Kievit for Aurubis Regular"/>
    </font>
    <font>
      <sz val="36"/>
      <color rgb="FF0076A7"/>
      <name val="Kievit for Aurubis Medium"/>
    </font>
    <font>
      <sz val="9.5"/>
      <color rgb="FF66ADCA"/>
      <name val="Kievit for Aurubis Regular"/>
    </font>
    <font>
      <i/>
      <sz val="9.5"/>
      <color rgb="FF66ADCA"/>
      <name val="Kievit for Aurubis Regular"/>
    </font>
    <font>
      <sz val="13"/>
      <color rgb="FF0076A7"/>
      <name val="Kievit for Aurubis Medium"/>
    </font>
    <font>
      <sz val="12"/>
      <color rgb="FF1D1D1D"/>
      <name val="Kievit for Aurubis Light"/>
    </font>
    <font>
      <sz val="30"/>
      <color rgb="FF0076A7"/>
      <name val="Kievit for Aurubis Book"/>
    </font>
    <font>
      <b/>
      <sz val="12"/>
      <color rgb="FF0076A7"/>
      <name val="Arial"/>
      <family val="2"/>
    </font>
    <font>
      <b/>
      <sz val="20"/>
      <color rgb="FF0076A7"/>
      <name val="Arial"/>
      <family val="2"/>
    </font>
    <font>
      <b/>
      <sz val="16"/>
      <color rgb="FF000000"/>
      <name val="Arial"/>
      <family val="2"/>
    </font>
    <font>
      <sz val="12"/>
      <color rgb="FF000000"/>
      <name val="Arial"/>
      <family val="2"/>
    </font>
    <font>
      <b/>
      <sz val="12"/>
      <color rgb="FF000000"/>
      <name val="Arial"/>
      <family val="2"/>
    </font>
    <font>
      <b/>
      <sz val="12"/>
      <color rgb="FFA2461B"/>
      <name val="Arial"/>
      <family val="2"/>
    </font>
    <font>
      <sz val="12"/>
      <color rgb="FF1D1D1D"/>
      <name val="Arial"/>
      <family val="2"/>
    </font>
    <font>
      <b/>
      <sz val="12"/>
      <color rgb="FF0C6296"/>
      <name val="Arial"/>
      <family val="2"/>
    </font>
    <font>
      <sz val="12"/>
      <color rgb="FF0076A7"/>
      <name val="Arial"/>
      <family val="2"/>
    </font>
    <font>
      <sz val="10"/>
      <color rgb="FF000000"/>
      <name val="Arial"/>
      <family val="2"/>
    </font>
    <font>
      <sz val="11"/>
      <color rgb="FF000000"/>
      <name val="Arial"/>
      <family val="2"/>
    </font>
    <font>
      <b/>
      <sz val="12"/>
      <color rgb="FF0076A9"/>
      <name val="Arial"/>
      <family val="2"/>
    </font>
    <font>
      <sz val="12"/>
      <color rgb="FF000000"/>
      <name val="Kievit Pro"/>
    </font>
    <font>
      <sz val="12"/>
      <color rgb="FFA2461B"/>
      <name val="Arial"/>
      <family val="2"/>
    </font>
    <font>
      <b/>
      <sz val="12"/>
      <color rgb="FF1D1D1D"/>
      <name val="Arial"/>
      <family val="2"/>
    </font>
    <font>
      <vertAlign val="superscript"/>
      <sz val="12"/>
      <color rgb="FF000000"/>
      <name val="Arial"/>
      <family val="2"/>
    </font>
    <font>
      <b/>
      <vertAlign val="superscript"/>
      <sz val="16"/>
      <color rgb="FF000000"/>
      <name val="Arial"/>
      <family val="2"/>
    </font>
    <font>
      <vertAlign val="superscript"/>
      <sz val="12"/>
      <color rgb="FF1D1D1D"/>
      <name val="Arial"/>
      <family val="2"/>
    </font>
    <font>
      <vertAlign val="superscript"/>
      <sz val="10"/>
      <color rgb="FF000000"/>
      <name val="Arial"/>
      <family val="2"/>
    </font>
    <font>
      <vertAlign val="subscript"/>
      <sz val="12"/>
      <color rgb="FF000000"/>
      <name val="Arial"/>
      <family val="2"/>
    </font>
    <font>
      <b/>
      <vertAlign val="superscript"/>
      <sz val="12"/>
      <color rgb="FF000000"/>
      <name val="Arial"/>
      <family val="2"/>
    </font>
    <font>
      <vertAlign val="subscript"/>
      <sz val="12"/>
      <color rgb="FF1D1D1D"/>
      <name val="Arial"/>
      <family val="2"/>
    </font>
    <font>
      <sz val="12"/>
      <color rgb="FF3391B9"/>
      <name val="Arial"/>
      <family val="2"/>
    </font>
    <font>
      <b/>
      <vertAlign val="superscript"/>
      <sz val="12"/>
      <color rgb="FF0076A7"/>
      <name val="Arial"/>
      <family val="2"/>
    </font>
    <font>
      <b/>
      <vertAlign val="superscript"/>
      <sz val="12"/>
      <color rgb="FF1D1D1D"/>
      <name val="Arial"/>
      <family val="2"/>
    </font>
    <font>
      <sz val="10"/>
      <color theme="1"/>
      <name val="Arial"/>
      <family val="2"/>
    </font>
    <font>
      <sz val="8"/>
      <name val="Arial"/>
      <family val="2"/>
    </font>
    <font>
      <sz val="12"/>
      <color rgb="FF0076A8"/>
      <name val="Arial"/>
      <family val="2"/>
    </font>
    <font>
      <sz val="10"/>
      <color rgb="FF1D1D1D"/>
      <name val="Arial"/>
      <family val="2"/>
    </font>
    <font>
      <vertAlign val="superscript"/>
      <sz val="10"/>
      <color rgb="FF1D1D1D"/>
      <name val="Arial"/>
      <family val="2"/>
    </font>
    <font>
      <b/>
      <sz val="12"/>
      <color rgb="FF0076A8"/>
      <name val="Arial"/>
      <family val="2"/>
    </font>
    <font>
      <sz val="10"/>
      <name val="Arial"/>
      <family val="2"/>
    </font>
    <font>
      <sz val="10"/>
      <color rgb="FF0076A7"/>
      <name val="Arial"/>
      <family val="2"/>
    </font>
    <font>
      <b/>
      <sz val="12"/>
      <color rgb="FF0576A7"/>
      <name val="Arial"/>
      <family val="2"/>
    </font>
    <font>
      <u/>
      <sz val="10"/>
      <color rgb="FF0563C1"/>
      <name val="Arial"/>
      <family val="2"/>
    </font>
  </fonts>
  <fills count="6">
    <fill>
      <patternFill patternType="none"/>
    </fill>
    <fill>
      <patternFill patternType="gray125"/>
    </fill>
    <fill>
      <patternFill patternType="solid">
        <fgColor rgb="FFD9EAF1"/>
        <bgColor indexed="64"/>
      </patternFill>
    </fill>
    <fill>
      <patternFill patternType="solid">
        <fgColor rgb="FFFFFFFF"/>
        <bgColor indexed="64"/>
      </patternFill>
    </fill>
    <fill>
      <patternFill patternType="solid">
        <fgColor rgb="FFD9EAF2"/>
        <bgColor indexed="64"/>
      </patternFill>
    </fill>
    <fill>
      <patternFill patternType="solid">
        <fgColor theme="2" tint="-9.9978637043366805E-2"/>
        <bgColor indexed="64"/>
      </patternFill>
    </fill>
  </fills>
  <borders count="53">
    <border>
      <left/>
      <right/>
      <top/>
      <bottom/>
      <diagonal/>
    </border>
    <border>
      <left/>
      <right/>
      <top style="thin">
        <color rgb="FFFFFFFF"/>
      </top>
      <bottom style="medium">
        <color rgb="FF0076A7"/>
      </bottom>
      <diagonal/>
    </border>
    <border>
      <left/>
      <right/>
      <top style="medium">
        <color rgb="FF0076A7"/>
      </top>
      <bottom style="thin">
        <color rgb="FF0076A7"/>
      </bottom>
      <diagonal/>
    </border>
    <border>
      <left/>
      <right/>
      <top style="thin">
        <color rgb="FF0076A7"/>
      </top>
      <bottom style="thin">
        <color rgb="FF0076A7"/>
      </bottom>
      <diagonal/>
    </border>
    <border>
      <left/>
      <right/>
      <top style="thin">
        <color rgb="FF0076A7"/>
      </top>
      <bottom style="medium">
        <color rgb="FF0076A7"/>
      </bottom>
      <diagonal/>
    </border>
    <border>
      <left/>
      <right/>
      <top style="medium">
        <color rgb="FF0076A7"/>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FFFFFF"/>
      </left>
      <right/>
      <top style="thin">
        <color rgb="FFFFFFFF"/>
      </top>
      <bottom style="medium">
        <color rgb="FF0076A7"/>
      </bottom>
      <diagonal/>
    </border>
    <border>
      <left/>
      <right/>
      <top/>
      <bottom style="medium">
        <color rgb="FF0076A7"/>
      </bottom>
      <diagonal/>
    </border>
    <border>
      <left style="thick">
        <color rgb="FFFFFFFF"/>
      </left>
      <right/>
      <top style="medium">
        <color rgb="FF0076A7"/>
      </top>
      <bottom/>
      <diagonal/>
    </border>
    <border>
      <left style="thin">
        <color rgb="FFFFFFFF"/>
      </left>
      <right/>
      <top style="thin">
        <color rgb="FF0076A7"/>
      </top>
      <bottom style="thin">
        <color rgb="FF0076A7"/>
      </bottom>
      <diagonal/>
    </border>
    <border>
      <left style="thin">
        <color rgb="FFFFFFFF"/>
      </left>
      <right/>
      <top style="thin">
        <color rgb="FF0076A7"/>
      </top>
      <bottom style="thin">
        <color rgb="FFFFFFFF"/>
      </bottom>
      <diagonal/>
    </border>
    <border>
      <left/>
      <right/>
      <top style="thin">
        <color rgb="FF0076A7"/>
      </top>
      <bottom/>
      <diagonal/>
    </border>
    <border>
      <left style="thin">
        <color rgb="FFFFFFFF"/>
      </left>
      <right/>
      <top style="thin">
        <color rgb="FF0076A7"/>
      </top>
      <bottom/>
      <diagonal/>
    </border>
    <border>
      <left/>
      <right/>
      <top style="thin">
        <color rgb="FF0076A7"/>
      </top>
      <bottom style="medium">
        <color rgb="FF0575A7"/>
      </bottom>
      <diagonal/>
    </border>
    <border>
      <left style="thin">
        <color rgb="FFFFFFFF"/>
      </left>
      <right/>
      <top style="thin">
        <color rgb="FFFFFFFF"/>
      </top>
      <bottom style="thin">
        <color rgb="FF0076A7"/>
      </bottom>
      <diagonal/>
    </border>
    <border>
      <left style="thin">
        <color rgb="FFFFFFFF"/>
      </left>
      <right/>
      <top/>
      <bottom style="medium">
        <color rgb="FF0575A7"/>
      </bottom>
      <diagonal/>
    </border>
    <border>
      <left/>
      <right/>
      <top style="medium">
        <color rgb="FF0575A7"/>
      </top>
      <bottom/>
      <diagonal/>
    </border>
    <border>
      <left style="thin">
        <color rgb="FFFFFFFF"/>
      </left>
      <right/>
      <top/>
      <bottom/>
      <diagonal/>
    </border>
    <border>
      <left/>
      <right/>
      <top/>
      <bottom style="thin">
        <color rgb="FF0076A7"/>
      </bottom>
      <diagonal/>
    </border>
    <border>
      <left style="thin">
        <color rgb="FFFFFFFF"/>
      </left>
      <right style="thin">
        <color rgb="FFFFFFFF"/>
      </right>
      <top/>
      <bottom/>
      <diagonal/>
    </border>
    <border>
      <left/>
      <right style="thin">
        <color rgb="FFFFFFFF"/>
      </right>
      <top/>
      <bottom/>
      <diagonal/>
    </border>
    <border>
      <left style="thin">
        <color rgb="FFFFFFFF"/>
      </left>
      <right/>
      <top style="thin">
        <color rgb="FF0076A7"/>
      </top>
      <bottom style="medium">
        <color rgb="FF0076A7"/>
      </bottom>
      <diagonal/>
    </border>
    <border>
      <left/>
      <right/>
      <top style="medium">
        <color rgb="FF0076A7"/>
      </top>
      <bottom style="thin">
        <color rgb="FFFFFFFF"/>
      </bottom>
      <diagonal/>
    </border>
    <border>
      <left/>
      <right/>
      <top style="thin">
        <color rgb="FFFFFFFF"/>
      </top>
      <bottom style="thin">
        <color rgb="FF0076A7"/>
      </bottom>
      <diagonal/>
    </border>
    <border>
      <left/>
      <right/>
      <top style="medium">
        <color rgb="FF0076A7"/>
      </top>
      <bottom style="medium">
        <color rgb="FF0076A7"/>
      </bottom>
      <diagonal/>
    </border>
    <border>
      <left style="thin">
        <color rgb="FFFFFFFF"/>
      </left>
      <right/>
      <top/>
      <bottom style="medium">
        <color rgb="FF0076A7"/>
      </bottom>
      <diagonal/>
    </border>
    <border>
      <left/>
      <right/>
      <top style="medium">
        <color rgb="FF0076A7"/>
      </top>
      <bottom style="thin">
        <color rgb="FF1D1D1D"/>
      </bottom>
      <diagonal/>
    </border>
    <border>
      <left/>
      <right/>
      <top style="thin">
        <color rgb="FF1D1D1D"/>
      </top>
      <bottom style="thin">
        <color rgb="FF1D1D1D"/>
      </bottom>
      <diagonal/>
    </border>
    <border>
      <left/>
      <right/>
      <top style="thin">
        <color rgb="FF1D1D1D"/>
      </top>
      <bottom style="medium">
        <color rgb="FF0076A7"/>
      </bottom>
      <diagonal/>
    </border>
    <border>
      <left/>
      <right/>
      <top style="thin">
        <color rgb="FF0076A7"/>
      </top>
      <bottom style="medium">
        <color rgb="FF1086C1"/>
      </bottom>
      <diagonal/>
    </border>
    <border>
      <left/>
      <right/>
      <top style="medium">
        <color rgb="FF1086C1"/>
      </top>
      <bottom/>
      <diagonal/>
    </border>
    <border>
      <left/>
      <right/>
      <top style="thin">
        <color rgb="FF0076A8"/>
      </top>
      <bottom style="thin">
        <color rgb="FF0076A8"/>
      </bottom>
      <diagonal/>
    </border>
    <border>
      <left/>
      <right/>
      <top style="medium">
        <color rgb="FF0076A8"/>
      </top>
      <bottom style="medium">
        <color rgb="FF0076A8"/>
      </bottom>
      <diagonal/>
    </border>
    <border>
      <left style="thick">
        <color rgb="FFFFFFFF"/>
      </left>
      <right/>
      <top style="medium">
        <color rgb="FF0076A8"/>
      </top>
      <bottom style="thin">
        <color rgb="FF0076A7"/>
      </bottom>
      <diagonal/>
    </border>
    <border>
      <left/>
      <right/>
      <top style="medium">
        <color rgb="FF0076A8"/>
      </top>
      <bottom style="thin">
        <color rgb="FF0076A7"/>
      </bottom>
      <diagonal/>
    </border>
    <border>
      <left style="thin">
        <color rgb="FFFFFFFF"/>
      </left>
      <right/>
      <top style="medium">
        <color rgb="FF0076A8"/>
      </top>
      <bottom style="thin">
        <color rgb="FF0076A7"/>
      </bottom>
      <diagonal/>
    </border>
    <border>
      <left/>
      <right style="medium">
        <color rgb="FF0076A7"/>
      </right>
      <top/>
      <bottom style="medium">
        <color rgb="FF0076A7"/>
      </bottom>
      <diagonal/>
    </border>
    <border>
      <left/>
      <right style="medium">
        <color rgb="FF0076A7"/>
      </right>
      <top style="medium">
        <color rgb="FF0076A7"/>
      </top>
      <bottom style="medium">
        <color rgb="FF0076A7"/>
      </bottom>
      <diagonal/>
    </border>
    <border>
      <left/>
      <right style="medium">
        <color rgb="FF0076A7"/>
      </right>
      <top style="medium">
        <color rgb="FF0076A7"/>
      </top>
      <bottom style="thin">
        <color rgb="FF0076A7"/>
      </bottom>
      <diagonal/>
    </border>
    <border>
      <left/>
      <right style="medium">
        <color rgb="FF0076A7"/>
      </right>
      <top style="thin">
        <color rgb="FF0076A7"/>
      </top>
      <bottom style="thin">
        <color rgb="FF0076A7"/>
      </bottom>
      <diagonal/>
    </border>
    <border>
      <left/>
      <right style="medium">
        <color rgb="FF0076A7"/>
      </right>
      <top style="thin">
        <color rgb="FF0076A7"/>
      </top>
      <bottom style="medium">
        <color rgb="FF0076A7"/>
      </bottom>
      <diagonal/>
    </border>
    <border>
      <left/>
      <right/>
      <top/>
      <bottom style="medium">
        <color rgb="FF0076A8"/>
      </bottom>
      <diagonal/>
    </border>
    <border>
      <left/>
      <right style="thin">
        <color rgb="FF0076A7"/>
      </right>
      <top style="medium">
        <color rgb="FF0076A7"/>
      </top>
      <bottom style="thin">
        <color rgb="FF0076A7"/>
      </bottom>
      <diagonal/>
    </border>
    <border>
      <left style="thin">
        <color rgb="FF0076A7"/>
      </left>
      <right style="thin">
        <color rgb="FF0076A7"/>
      </right>
      <top style="medium">
        <color rgb="FF0076A7"/>
      </top>
      <bottom style="thin">
        <color rgb="FF0076A7"/>
      </bottom>
      <diagonal/>
    </border>
    <border>
      <left style="thin">
        <color rgb="FF0076A7"/>
      </left>
      <right/>
      <top style="medium">
        <color rgb="FF0076A7"/>
      </top>
      <bottom style="thin">
        <color rgb="FF0076A7"/>
      </bottom>
      <diagonal/>
    </border>
    <border>
      <left/>
      <right style="thin">
        <color rgb="FF0076A7"/>
      </right>
      <top style="thin">
        <color rgb="FF0076A7"/>
      </top>
      <bottom style="thin">
        <color rgb="FF0076A7"/>
      </bottom>
      <diagonal/>
    </border>
    <border>
      <left style="thin">
        <color rgb="FF0076A7"/>
      </left>
      <right style="thin">
        <color rgb="FF0076A7"/>
      </right>
      <top style="thin">
        <color rgb="FF0076A7"/>
      </top>
      <bottom style="thin">
        <color rgb="FF0076A7"/>
      </bottom>
      <diagonal/>
    </border>
    <border>
      <left style="thin">
        <color rgb="FF0076A7"/>
      </left>
      <right/>
      <top style="thin">
        <color rgb="FF0076A7"/>
      </top>
      <bottom style="thin">
        <color rgb="FF0076A7"/>
      </bottom>
      <diagonal/>
    </border>
    <border>
      <left/>
      <right style="thin">
        <color rgb="FF0076A7"/>
      </right>
      <top style="thin">
        <color rgb="FF0076A7"/>
      </top>
      <bottom style="medium">
        <color rgb="FF0076A7"/>
      </bottom>
      <diagonal/>
    </border>
    <border>
      <left style="thin">
        <color rgb="FF0076A7"/>
      </left>
      <right style="thin">
        <color rgb="FF0076A7"/>
      </right>
      <top style="thin">
        <color rgb="FF0076A7"/>
      </top>
      <bottom style="medium">
        <color rgb="FF0076A7"/>
      </bottom>
      <diagonal/>
    </border>
    <border>
      <left style="thin">
        <color rgb="FF0076A7"/>
      </left>
      <right/>
      <top style="thin">
        <color rgb="FF0076A7"/>
      </top>
      <bottom style="medium">
        <color rgb="FF0076A7"/>
      </bottom>
      <diagonal/>
    </border>
  </borders>
  <cellStyleXfs count="26">
    <xf numFmtId="0" fontId="0" fillId="0" borderId="0"/>
    <xf numFmtId="0" fontId="1" fillId="0" borderId="0" applyBorder="0">
      <alignment horizontal="left" wrapText="1"/>
    </xf>
    <xf numFmtId="0" fontId="2" fillId="0" borderId="0" applyBorder="0">
      <alignment horizontal="left" wrapText="1"/>
    </xf>
    <xf numFmtId="0" fontId="3" fillId="0" borderId="0" applyBorder="0">
      <alignment horizontal="left" wrapText="1"/>
    </xf>
    <xf numFmtId="0" fontId="4" fillId="0" borderId="0" applyBorder="0">
      <alignment horizontal="left" wrapText="1"/>
    </xf>
    <xf numFmtId="0" fontId="5" fillId="0" borderId="0" applyBorder="0">
      <alignment horizontal="left" wrapText="1"/>
    </xf>
    <xf numFmtId="0" fontId="6" fillId="0" borderId="0" applyBorder="0">
      <alignment horizontal="left" wrapText="1"/>
    </xf>
    <xf numFmtId="0" fontId="7" fillId="0" borderId="0" applyBorder="0">
      <alignment horizontal="right" wrapText="1"/>
    </xf>
    <xf numFmtId="0" fontId="8" fillId="0" borderId="0" applyBorder="0">
      <alignment horizontal="left" wrapText="1"/>
    </xf>
    <xf numFmtId="0" fontId="9" fillId="0" borderId="0" applyBorder="0">
      <alignment horizontal="left" wrapText="1"/>
    </xf>
    <xf numFmtId="0" fontId="10" fillId="0" borderId="0" applyBorder="0">
      <alignment horizontal="right" wrapText="1"/>
    </xf>
    <xf numFmtId="0" fontId="10" fillId="0" borderId="0" applyBorder="0">
      <alignment horizontal="right" wrapText="1"/>
    </xf>
    <xf numFmtId="0" fontId="12" fillId="0" borderId="0" applyBorder="0">
      <alignment horizontal="left" wrapText="1"/>
    </xf>
    <xf numFmtId="0" fontId="13" fillId="0" borderId="0" applyBorder="0">
      <alignment horizontal="left" wrapText="1"/>
    </xf>
    <xf numFmtId="0" fontId="14" fillId="0" borderId="0" applyBorder="0">
      <alignment horizontal="left" wrapText="1"/>
    </xf>
    <xf numFmtId="0" fontId="15" fillId="0" borderId="0" applyBorder="0">
      <alignment horizontal="left" wrapText="1"/>
    </xf>
    <xf numFmtId="0" fontId="13" fillId="0" borderId="0" applyBorder="0">
      <alignment horizontal="left" wrapText="1"/>
    </xf>
    <xf numFmtId="0" fontId="16" fillId="0" borderId="0" applyBorder="0">
      <alignment horizontal="left" wrapText="1"/>
    </xf>
    <xf numFmtId="0" fontId="17" fillId="0" borderId="0" applyBorder="0">
      <alignment horizontal="left" wrapText="1"/>
    </xf>
    <xf numFmtId="0" fontId="3" fillId="0" borderId="0" applyBorder="0">
      <alignment horizontal="left" wrapText="1"/>
    </xf>
    <xf numFmtId="0" fontId="12" fillId="0" borderId="0" applyBorder="0">
      <alignment horizontal="left" wrapText="1" indent="1"/>
    </xf>
    <xf numFmtId="0" fontId="18" fillId="0" borderId="0" applyBorder="0">
      <alignment horizontal="left" wrapText="1"/>
    </xf>
    <xf numFmtId="0" fontId="19" fillId="0" borderId="0" applyBorder="0">
      <alignment horizontal="left" wrapText="1"/>
    </xf>
    <xf numFmtId="0" fontId="6" fillId="0" borderId="0" applyBorder="0">
      <alignment horizontal="left" wrapText="1"/>
    </xf>
    <xf numFmtId="0" fontId="20" fillId="0" borderId="0" applyBorder="0">
      <alignment horizontal="left" wrapText="1"/>
    </xf>
    <xf numFmtId="0" fontId="18" fillId="0" borderId="0" applyBorder="0">
      <alignment horizontal="left" wrapText="1"/>
    </xf>
  </cellStyleXfs>
  <cellXfs count="398">
    <xf numFmtId="0" fontId="0" fillId="0" borderId="0" xfId="0"/>
    <xf numFmtId="0" fontId="1" fillId="0" borderId="0" xfId="1">
      <alignment horizontal="left" wrapText="1"/>
    </xf>
    <xf numFmtId="0" fontId="21" fillId="0" borderId="0" xfId="2" applyFont="1">
      <alignment horizontal="left" wrapText="1"/>
    </xf>
    <xf numFmtId="0" fontId="24" fillId="0" borderId="1" xfId="2" applyFont="1" applyBorder="1" applyAlignment="1">
      <alignment horizontal="right" wrapText="1"/>
    </xf>
    <xf numFmtId="0" fontId="25" fillId="0" borderId="2" xfId="2" applyFont="1" applyBorder="1">
      <alignment horizontal="left" wrapText="1"/>
    </xf>
    <xf numFmtId="0" fontId="24" fillId="0" borderId="2" xfId="2" applyFont="1" applyBorder="1" applyAlignment="1">
      <alignment horizontal="right" wrapText="1"/>
    </xf>
    <xf numFmtId="0" fontId="24" fillId="0" borderId="2" xfId="2" applyFont="1" applyBorder="1">
      <alignment horizontal="left" wrapText="1"/>
    </xf>
    <xf numFmtId="0" fontId="24" fillId="0" borderId="3" xfId="2" applyFont="1" applyBorder="1">
      <alignment horizontal="left" wrapText="1"/>
    </xf>
    <xf numFmtId="0" fontId="24" fillId="0" borderId="3" xfId="2" applyFont="1" applyBorder="1" applyAlignment="1">
      <alignment horizontal="right" wrapText="1"/>
    </xf>
    <xf numFmtId="0" fontId="25" fillId="0" borderId="3" xfId="2" applyFont="1" applyBorder="1">
      <alignment horizontal="left" wrapText="1"/>
    </xf>
    <xf numFmtId="0" fontId="25" fillId="0" borderId="4" xfId="2" applyFont="1" applyBorder="1">
      <alignment horizontal="left" wrapText="1"/>
    </xf>
    <xf numFmtId="0" fontId="24" fillId="0" borderId="4" xfId="2" applyFont="1" applyBorder="1">
      <alignment horizontal="left" wrapText="1"/>
    </xf>
    <xf numFmtId="0" fontId="24" fillId="0" borderId="6" xfId="2" applyFont="1" applyBorder="1" applyAlignment="1">
      <alignment horizontal="right" wrapText="1"/>
    </xf>
    <xf numFmtId="0" fontId="26" fillId="0" borderId="7" xfId="2" applyFont="1" applyBorder="1" applyAlignment="1">
      <alignment horizontal="right" wrapText="1"/>
    </xf>
    <xf numFmtId="0" fontId="24" fillId="0" borderId="8" xfId="2" applyFont="1" applyBorder="1">
      <alignment horizontal="left" wrapText="1"/>
    </xf>
    <xf numFmtId="0" fontId="24" fillId="0" borderId="9" xfId="2" applyFont="1" applyBorder="1">
      <alignment horizontal="left" wrapText="1"/>
    </xf>
    <xf numFmtId="0" fontId="24" fillId="0" borderId="2" xfId="2" applyFont="1" applyBorder="1" applyAlignment="1">
      <alignment horizontal="left" vertical="top" wrapText="1"/>
    </xf>
    <xf numFmtId="0" fontId="24" fillId="0" borderId="3" xfId="2" applyFont="1" applyBorder="1" applyAlignment="1">
      <alignment horizontal="left" vertical="top" wrapText="1"/>
    </xf>
    <xf numFmtId="0" fontId="24" fillId="0" borderId="11" xfId="2" applyFont="1" applyBorder="1" applyAlignment="1">
      <alignment horizontal="left" vertical="top" wrapText="1"/>
    </xf>
    <xf numFmtId="0" fontId="24" fillId="0" borderId="12" xfId="2" applyFont="1" applyBorder="1" applyAlignment="1">
      <alignment horizontal="left" vertical="top" wrapText="1"/>
    </xf>
    <xf numFmtId="0" fontId="24" fillId="0" borderId="15" xfId="2" applyFont="1" applyBorder="1" applyAlignment="1">
      <alignment horizontal="left" vertical="top" wrapText="1"/>
    </xf>
    <xf numFmtId="0" fontId="24" fillId="0" borderId="16" xfId="2" applyFont="1" applyBorder="1" applyAlignment="1">
      <alignment horizontal="left" vertical="top" wrapText="1"/>
    </xf>
    <xf numFmtId="0" fontId="1" fillId="0" borderId="18" xfId="2" applyFont="1" applyBorder="1">
      <alignment horizontal="left" wrapText="1"/>
    </xf>
    <xf numFmtId="0" fontId="27" fillId="0" borderId="9" xfId="2" applyFont="1" applyBorder="1" applyAlignment="1">
      <alignment horizontal="center" wrapText="1"/>
    </xf>
    <xf numFmtId="0" fontId="24" fillId="0" borderId="9" xfId="2" applyFont="1" applyBorder="1" applyAlignment="1">
      <alignment horizontal="center" wrapText="1"/>
    </xf>
    <xf numFmtId="164" fontId="24" fillId="0" borderId="2" xfId="2" applyNumberFormat="1" applyFont="1" applyBorder="1" applyAlignment="1">
      <alignment horizontal="center" wrapText="1"/>
    </xf>
    <xf numFmtId="0" fontId="25" fillId="0" borderId="3" xfId="2" applyFont="1" applyBorder="1" applyAlignment="1">
      <alignment horizontal="center" wrapText="1"/>
    </xf>
    <xf numFmtId="0" fontId="28" fillId="0" borderId="3" xfId="2" applyFont="1" applyBorder="1" applyAlignment="1">
      <alignment horizontal="center" wrapText="1"/>
    </xf>
    <xf numFmtId="0" fontId="24" fillId="0" borderId="3" xfId="2" applyFont="1" applyBorder="1" applyAlignment="1">
      <alignment horizontal="center" wrapText="1"/>
    </xf>
    <xf numFmtId="164" fontId="24" fillId="0" borderId="3" xfId="2" applyNumberFormat="1" applyFont="1" applyBorder="1" applyAlignment="1">
      <alignment horizontal="center" wrapText="1"/>
    </xf>
    <xf numFmtId="0" fontId="28" fillId="0" borderId="4" xfId="2" applyFont="1" applyBorder="1" applyAlignment="1">
      <alignment horizontal="center" wrapText="1"/>
    </xf>
    <xf numFmtId="0" fontId="25" fillId="0" borderId="4" xfId="2" applyFont="1" applyBorder="1" applyAlignment="1">
      <alignment horizontal="center" wrapText="1"/>
    </xf>
    <xf numFmtId="0" fontId="24" fillId="0" borderId="5" xfId="2" applyFont="1" applyBorder="1">
      <alignment horizontal="left" wrapText="1"/>
    </xf>
    <xf numFmtId="0" fontId="24" fillId="0" borderId="5" xfId="2" applyFont="1" applyBorder="1" applyAlignment="1">
      <alignment horizontal="right" wrapText="1"/>
    </xf>
    <xf numFmtId="0" fontId="27" fillId="0" borderId="2" xfId="2" applyFont="1" applyBorder="1" applyAlignment="1">
      <alignment horizontal="left" vertical="top" wrapText="1"/>
    </xf>
    <xf numFmtId="0" fontId="27" fillId="0" borderId="3" xfId="2" applyFont="1" applyBorder="1" applyAlignment="1">
      <alignment horizontal="left" vertical="top" wrapText="1"/>
    </xf>
    <xf numFmtId="0" fontId="27" fillId="0" borderId="4" xfId="2" applyFont="1" applyBorder="1" applyAlignment="1">
      <alignment horizontal="left" vertical="top" wrapText="1"/>
    </xf>
    <xf numFmtId="0" fontId="1" fillId="0" borderId="19" xfId="2" applyFont="1" applyBorder="1">
      <alignment horizontal="left" wrapText="1"/>
    </xf>
    <xf numFmtId="0" fontId="24" fillId="0" borderId="9" xfId="2" applyFont="1" applyBorder="1" applyAlignment="1">
      <alignment horizontal="right" wrapText="1"/>
    </xf>
    <xf numFmtId="0" fontId="21" fillId="0" borderId="9" xfId="2" applyFont="1" applyBorder="1" applyAlignment="1">
      <alignment horizontal="right" wrapText="1"/>
    </xf>
    <xf numFmtId="165" fontId="24" fillId="0" borderId="2" xfId="2" applyNumberFormat="1" applyFont="1" applyBorder="1" applyAlignment="1">
      <alignment wrapText="1"/>
    </xf>
    <xf numFmtId="165" fontId="29" fillId="2" borderId="2" xfId="2" applyNumberFormat="1" applyFont="1" applyFill="1" applyBorder="1" applyAlignment="1">
      <alignment wrapText="1"/>
    </xf>
    <xf numFmtId="0" fontId="24" fillId="0" borderId="5" xfId="2" applyFont="1" applyBorder="1" applyAlignment="1">
      <alignment horizontal="left" vertical="center" wrapText="1"/>
    </xf>
    <xf numFmtId="0" fontId="24" fillId="0" borderId="19" xfId="2" applyFont="1" applyBorder="1" applyAlignment="1">
      <alignment horizontal="right" wrapText="1"/>
    </xf>
    <xf numFmtId="0" fontId="21" fillId="0" borderId="9" xfId="2" applyFont="1" applyBorder="1">
      <alignment horizontal="left" wrapText="1"/>
    </xf>
    <xf numFmtId="0" fontId="29" fillId="2" borderId="2" xfId="2" applyFont="1" applyFill="1" applyBorder="1" applyAlignment="1">
      <alignment horizontal="right" wrapText="1"/>
    </xf>
    <xf numFmtId="167" fontId="21" fillId="2" borderId="2" xfId="2" applyNumberFormat="1" applyFont="1" applyFill="1" applyBorder="1" applyAlignment="1">
      <alignment horizontal="right" wrapText="1"/>
    </xf>
    <xf numFmtId="0" fontId="29" fillId="2" borderId="3" xfId="2" applyFont="1" applyFill="1" applyBorder="1" applyAlignment="1">
      <alignment horizontal="right" wrapText="1"/>
    </xf>
    <xf numFmtId="0" fontId="29" fillId="2" borderId="3" xfId="2" applyFont="1" applyFill="1" applyBorder="1" applyAlignment="1">
      <alignment horizontal="left" vertical="top" wrapText="1"/>
    </xf>
    <xf numFmtId="0" fontId="29" fillId="2" borderId="3" xfId="2" applyFont="1" applyFill="1" applyBorder="1" applyAlignment="1">
      <alignment horizontal="left" vertical="center" wrapText="1"/>
    </xf>
    <xf numFmtId="167" fontId="21" fillId="2" borderId="3" xfId="2" applyNumberFormat="1" applyFont="1" applyFill="1" applyBorder="1" applyAlignment="1">
      <alignment horizontal="right" wrapText="1"/>
    </xf>
    <xf numFmtId="0" fontId="21" fillId="2" borderId="3" xfId="2" applyFont="1" applyFill="1" applyBorder="1" applyAlignment="1">
      <alignment horizontal="right" wrapText="1"/>
    </xf>
    <xf numFmtId="0" fontId="24" fillId="0" borderId="4" xfId="2" applyFont="1" applyBorder="1" applyAlignment="1">
      <alignment horizontal="left" vertical="top" wrapText="1"/>
    </xf>
    <xf numFmtId="0" fontId="21" fillId="2" borderId="4" xfId="2" applyFont="1" applyFill="1" applyBorder="1" applyAlignment="1">
      <alignment horizontal="right" wrapText="1"/>
    </xf>
    <xf numFmtId="0" fontId="29" fillId="2" borderId="4" xfId="2" applyFont="1" applyFill="1" applyBorder="1" applyAlignment="1">
      <alignment horizontal="left" vertical="top" wrapText="1"/>
    </xf>
    <xf numFmtId="0" fontId="1" fillId="0" borderId="5" xfId="2" applyFont="1" applyBorder="1">
      <alignment horizontal="left" wrapText="1"/>
    </xf>
    <xf numFmtId="0" fontId="24" fillId="0" borderId="0" xfId="2" applyFont="1">
      <alignment horizontal="left" wrapText="1"/>
    </xf>
    <xf numFmtId="0" fontId="24" fillId="0" borderId="4" xfId="2" applyFont="1" applyBorder="1" applyAlignment="1">
      <alignment horizontal="right" wrapText="1"/>
    </xf>
    <xf numFmtId="169" fontId="24" fillId="0" borderId="2" xfId="2" applyNumberFormat="1" applyFont="1" applyBorder="1" applyAlignment="1">
      <alignment wrapText="1"/>
    </xf>
    <xf numFmtId="172" fontId="29" fillId="2" borderId="2" xfId="2" applyNumberFormat="1" applyFont="1" applyFill="1" applyBorder="1" applyAlignment="1">
      <alignment wrapText="1"/>
    </xf>
    <xf numFmtId="169" fontId="24" fillId="0" borderId="3" xfId="2" applyNumberFormat="1" applyFont="1" applyBorder="1" applyAlignment="1">
      <alignment wrapText="1"/>
    </xf>
    <xf numFmtId="172" fontId="29" fillId="2" borderId="3" xfId="2" applyNumberFormat="1" applyFont="1" applyFill="1" applyBorder="1" applyAlignment="1">
      <alignment wrapText="1"/>
    </xf>
    <xf numFmtId="169" fontId="24" fillId="0" borderId="4" xfId="2" applyNumberFormat="1" applyFont="1" applyBorder="1" applyAlignment="1">
      <alignment wrapText="1"/>
    </xf>
    <xf numFmtId="0" fontId="24" fillId="0" borderId="9" xfId="2" applyFont="1" applyBorder="1" applyAlignment="1">
      <alignment horizontal="right" vertical="center" wrapText="1"/>
    </xf>
    <xf numFmtId="172" fontId="29" fillId="2" borderId="4" xfId="2" applyNumberFormat="1" applyFont="1" applyFill="1" applyBorder="1" applyAlignment="1">
      <alignment wrapText="1"/>
    </xf>
    <xf numFmtId="173" fontId="29" fillId="2" borderId="2" xfId="2" applyNumberFormat="1" applyFont="1" applyFill="1" applyBorder="1" applyAlignment="1">
      <alignment horizontal="right" wrapText="1"/>
    </xf>
    <xf numFmtId="174" fontId="29" fillId="2" borderId="5" xfId="2" applyNumberFormat="1" applyFont="1" applyFill="1" applyBorder="1" applyAlignment="1">
      <alignment horizontal="right" wrapText="1"/>
    </xf>
    <xf numFmtId="173" fontId="29" fillId="2" borderId="3" xfId="2" applyNumberFormat="1" applyFont="1" applyFill="1" applyBorder="1" applyAlignment="1">
      <alignment horizontal="right" wrapText="1"/>
    </xf>
    <xf numFmtId="173" fontId="29" fillId="2" borderId="4" xfId="2" applyNumberFormat="1" applyFont="1" applyFill="1" applyBorder="1" applyAlignment="1">
      <alignment horizontal="right" wrapText="1"/>
    </xf>
    <xf numFmtId="174" fontId="29" fillId="2" borderId="9" xfId="2" applyNumberFormat="1" applyFont="1" applyFill="1" applyBorder="1" applyAlignment="1">
      <alignment horizontal="right" vertical="center" wrapText="1"/>
    </xf>
    <xf numFmtId="169" fontId="24" fillId="0" borderId="5" xfId="2" applyNumberFormat="1" applyFont="1" applyBorder="1" applyAlignment="1">
      <alignment wrapText="1"/>
    </xf>
    <xf numFmtId="169" fontId="29" fillId="2" borderId="5" xfId="2" applyNumberFormat="1" applyFont="1" applyFill="1" applyBorder="1" applyAlignment="1">
      <alignment wrapText="1"/>
    </xf>
    <xf numFmtId="169" fontId="24" fillId="0" borderId="9" xfId="2" applyNumberFormat="1" applyFont="1" applyBorder="1" applyAlignment="1">
      <alignment wrapText="1"/>
    </xf>
    <xf numFmtId="174" fontId="29" fillId="2" borderId="9" xfId="2" applyNumberFormat="1" applyFont="1" applyFill="1" applyBorder="1" applyAlignment="1">
      <alignment horizontal="right" wrapText="1"/>
    </xf>
    <xf numFmtId="169" fontId="29" fillId="2" borderId="9" xfId="2" applyNumberFormat="1" applyFont="1" applyFill="1" applyBorder="1" applyAlignment="1">
      <alignment wrapText="1"/>
    </xf>
    <xf numFmtId="172" fontId="24" fillId="0" borderId="5" xfId="2" applyNumberFormat="1" applyFont="1" applyBorder="1" applyAlignment="1">
      <alignment wrapText="1"/>
    </xf>
    <xf numFmtId="172" fontId="29" fillId="2" borderId="5" xfId="2" applyNumberFormat="1" applyFont="1" applyFill="1" applyBorder="1" applyAlignment="1">
      <alignment wrapText="1"/>
    </xf>
    <xf numFmtId="172" fontId="24" fillId="0" borderId="9" xfId="2" applyNumberFormat="1" applyFont="1" applyBorder="1" applyAlignment="1">
      <alignment wrapText="1"/>
    </xf>
    <xf numFmtId="172" fontId="29" fillId="2" borderId="9" xfId="2" applyNumberFormat="1" applyFont="1" applyFill="1" applyBorder="1" applyAlignment="1">
      <alignment wrapText="1"/>
    </xf>
    <xf numFmtId="172" fontId="24" fillId="0" borderId="2" xfId="2" applyNumberFormat="1" applyFont="1" applyBorder="1" applyAlignment="1">
      <alignment wrapText="1"/>
    </xf>
    <xf numFmtId="172" fontId="24" fillId="0" borderId="3" xfId="2" applyNumberFormat="1" applyFont="1" applyBorder="1" applyAlignment="1">
      <alignment wrapText="1"/>
    </xf>
    <xf numFmtId="0" fontId="24" fillId="0" borderId="3" xfId="2" applyFont="1" applyBorder="1" applyAlignment="1">
      <alignment horizontal="left" wrapText="1" indent="2"/>
    </xf>
    <xf numFmtId="0" fontId="25" fillId="0" borderId="4" xfId="2" applyFont="1" applyBorder="1" applyAlignment="1">
      <alignment horizontal="left" vertical="center" wrapText="1"/>
    </xf>
    <xf numFmtId="172" fontId="25" fillId="0" borderId="4" xfId="2" applyNumberFormat="1" applyFont="1" applyBorder="1" applyAlignment="1">
      <alignment wrapText="1"/>
    </xf>
    <xf numFmtId="0" fontId="25" fillId="0" borderId="4" xfId="2" applyFont="1" applyBorder="1" applyAlignment="1">
      <alignment horizontal="right" wrapText="1"/>
    </xf>
    <xf numFmtId="0" fontId="24" fillId="0" borderId="20" xfId="2" applyFont="1" applyBorder="1" applyAlignment="1">
      <alignment horizontal="right" wrapText="1"/>
    </xf>
    <xf numFmtId="173" fontId="24" fillId="0" borderId="2" xfId="2" applyNumberFormat="1" applyFont="1" applyBorder="1" applyAlignment="1">
      <alignment horizontal="right" wrapText="1"/>
    </xf>
    <xf numFmtId="177" fontId="24" fillId="0" borderId="2" xfId="2" applyNumberFormat="1" applyFont="1" applyBorder="1" applyAlignment="1">
      <alignment horizontal="right" wrapText="1"/>
    </xf>
    <xf numFmtId="173" fontId="24" fillId="0" borderId="3" xfId="2" applyNumberFormat="1" applyFont="1" applyBorder="1" applyAlignment="1">
      <alignment horizontal="right" wrapText="1"/>
    </xf>
    <xf numFmtId="177" fontId="24" fillId="0" borderId="3" xfId="2" applyNumberFormat="1" applyFont="1" applyBorder="1" applyAlignment="1">
      <alignment horizontal="right" wrapText="1"/>
    </xf>
    <xf numFmtId="173" fontId="25" fillId="0" borderId="4" xfId="2" applyNumberFormat="1" applyFont="1" applyBorder="1" applyAlignment="1">
      <alignment horizontal="right" wrapText="1"/>
    </xf>
    <xf numFmtId="177" fontId="25" fillId="0" borderId="4" xfId="2" applyNumberFormat="1" applyFont="1" applyBorder="1" applyAlignment="1">
      <alignment horizontal="right" wrapText="1"/>
    </xf>
    <xf numFmtId="0" fontId="25" fillId="0" borderId="20" xfId="2" applyFont="1" applyBorder="1" applyAlignment="1">
      <alignment horizontal="right" wrapText="1"/>
    </xf>
    <xf numFmtId="0" fontId="21" fillId="0" borderId="3" xfId="2" applyFont="1" applyBorder="1" applyAlignment="1">
      <alignment horizontal="right" wrapText="1"/>
    </xf>
    <xf numFmtId="173" fontId="24" fillId="0" borderId="4" xfId="2" applyNumberFormat="1" applyFont="1" applyBorder="1" applyAlignment="1">
      <alignment horizontal="right" wrapText="1"/>
    </xf>
    <xf numFmtId="0" fontId="25" fillId="0" borderId="9" xfId="2" applyFont="1" applyBorder="1">
      <alignment horizontal="left" wrapText="1"/>
    </xf>
    <xf numFmtId="0" fontId="21" fillId="0" borderId="2" xfId="2" applyFont="1" applyBorder="1" applyAlignment="1">
      <alignment horizontal="right" wrapText="1"/>
    </xf>
    <xf numFmtId="0" fontId="21" fillId="2" borderId="2" xfId="2" applyFont="1" applyFill="1" applyBorder="1" applyAlignment="1">
      <alignment horizontal="right" wrapText="1"/>
    </xf>
    <xf numFmtId="173" fontId="21" fillId="2" borderId="3" xfId="2" applyNumberFormat="1" applyFont="1" applyFill="1" applyBorder="1" applyAlignment="1">
      <alignment horizontal="right" wrapText="1"/>
    </xf>
    <xf numFmtId="173" fontId="21" fillId="2" borderId="4" xfId="2" applyNumberFormat="1" applyFont="1" applyFill="1" applyBorder="1" applyAlignment="1">
      <alignment horizontal="right" wrapText="1"/>
    </xf>
    <xf numFmtId="0" fontId="24" fillId="0" borderId="0" xfId="2" applyFont="1" applyAlignment="1">
      <alignment horizontal="right" wrapText="1"/>
    </xf>
    <xf numFmtId="0" fontId="25" fillId="0" borderId="2" xfId="2" applyFont="1" applyBorder="1" applyAlignment="1">
      <alignment horizontal="right" wrapText="1"/>
    </xf>
    <xf numFmtId="173" fontId="25" fillId="0" borderId="3" xfId="2" applyNumberFormat="1" applyFont="1" applyBorder="1" applyAlignment="1">
      <alignment horizontal="right" wrapText="1"/>
    </xf>
    <xf numFmtId="0" fontId="25" fillId="0" borderId="3" xfId="2" applyFont="1" applyBorder="1" applyAlignment="1">
      <alignment horizontal="right" wrapText="1"/>
    </xf>
    <xf numFmtId="164" fontId="24" fillId="0" borderId="3" xfId="2" applyNumberFormat="1" applyFont="1" applyBorder="1" applyAlignment="1">
      <alignment horizontal="right" wrapText="1"/>
    </xf>
    <xf numFmtId="0" fontId="24" fillId="0" borderId="4" xfId="2" applyFont="1" applyBorder="1" applyAlignment="1">
      <alignment horizontal="left" wrapText="1" indent="2"/>
    </xf>
    <xf numFmtId="164" fontId="24" fillId="0" borderId="4" xfId="2" applyNumberFormat="1" applyFont="1" applyBorder="1" applyAlignment="1">
      <alignment horizontal="right" wrapText="1"/>
    </xf>
    <xf numFmtId="174" fontId="29" fillId="2" borderId="2" xfId="2" applyNumberFormat="1" applyFont="1" applyFill="1" applyBorder="1" applyAlignment="1">
      <alignment horizontal="right" wrapText="1"/>
    </xf>
    <xf numFmtId="174" fontId="24" fillId="0" borderId="2" xfId="2" applyNumberFormat="1" applyFont="1" applyBorder="1" applyAlignment="1">
      <alignment horizontal="right" wrapText="1"/>
    </xf>
    <xf numFmtId="174" fontId="29" fillId="2" borderId="3" xfId="2" applyNumberFormat="1" applyFont="1" applyFill="1" applyBorder="1" applyAlignment="1">
      <alignment horizontal="right" wrapText="1"/>
    </xf>
    <xf numFmtId="174" fontId="24" fillId="0" borderId="3" xfId="2" applyNumberFormat="1" applyFont="1" applyBorder="1" applyAlignment="1">
      <alignment horizontal="right" wrapText="1"/>
    </xf>
    <xf numFmtId="166" fontId="24" fillId="0" borderId="3" xfId="2" applyNumberFormat="1" applyFont="1" applyBorder="1" applyAlignment="1">
      <alignment horizontal="right" wrapText="1"/>
    </xf>
    <xf numFmtId="174" fontId="29" fillId="2" borderId="4" xfId="2" applyNumberFormat="1" applyFont="1" applyFill="1" applyBorder="1" applyAlignment="1">
      <alignment horizontal="right" wrapText="1"/>
    </xf>
    <xf numFmtId="174" fontId="24" fillId="0" borderId="4" xfId="2" applyNumberFormat="1" applyFont="1" applyBorder="1" applyAlignment="1">
      <alignment horizontal="right" wrapText="1"/>
    </xf>
    <xf numFmtId="0" fontId="34" fillId="0" borderId="4" xfId="2" applyFont="1" applyBorder="1" applyAlignment="1">
      <alignment horizontal="right" wrapText="1"/>
    </xf>
    <xf numFmtId="0" fontId="24" fillId="0" borderId="11" xfId="2" applyFont="1" applyBorder="1">
      <alignment horizontal="left" wrapText="1"/>
    </xf>
    <xf numFmtId="0" fontId="24" fillId="0" borderId="23" xfId="2" applyFont="1" applyBorder="1">
      <alignment horizontal="left" wrapText="1"/>
    </xf>
    <xf numFmtId="0" fontId="24" fillId="0" borderId="24" xfId="2" applyFont="1" applyBorder="1">
      <alignment horizontal="left" wrapText="1"/>
    </xf>
    <xf numFmtId="0" fontId="24" fillId="0" borderId="0" xfId="2" applyFont="1" applyAlignment="1">
      <alignment horizontal="left" vertical="top" wrapText="1"/>
    </xf>
    <xf numFmtId="0" fontId="24" fillId="0" borderId="25" xfId="2" applyFont="1" applyBorder="1">
      <alignment horizontal="left" wrapText="1"/>
    </xf>
    <xf numFmtId="0" fontId="25" fillId="0" borderId="26" xfId="2" applyFont="1" applyBorder="1">
      <alignment horizontal="left" wrapText="1"/>
    </xf>
    <xf numFmtId="164" fontId="24" fillId="0" borderId="2" xfId="2" applyNumberFormat="1" applyFont="1" applyBorder="1" applyAlignment="1">
      <alignment horizontal="right" vertical="top" wrapText="1"/>
    </xf>
    <xf numFmtId="0" fontId="24" fillId="0" borderId="3" xfId="2" applyFont="1" applyBorder="1" applyAlignment="1">
      <alignment horizontal="right" vertical="top" wrapText="1"/>
    </xf>
    <xf numFmtId="164" fontId="25" fillId="0" borderId="3" xfId="2" applyNumberFormat="1" applyFont="1" applyBorder="1" applyAlignment="1">
      <alignment horizontal="right" wrapText="1"/>
    </xf>
    <xf numFmtId="0" fontId="25" fillId="0" borderId="0" xfId="2" applyFont="1">
      <alignment horizontal="left" wrapText="1"/>
    </xf>
    <xf numFmtId="164" fontId="24" fillId="0" borderId="2" xfId="2" applyNumberFormat="1" applyFont="1" applyBorder="1" applyAlignment="1">
      <alignment horizontal="right" wrapText="1"/>
    </xf>
    <xf numFmtId="164" fontId="24" fillId="0" borderId="3" xfId="2" applyNumberFormat="1" applyFont="1" applyBorder="1" applyAlignment="1">
      <alignment horizontal="right" vertical="top" wrapText="1"/>
    </xf>
    <xf numFmtId="164" fontId="25" fillId="0" borderId="4" xfId="2" applyNumberFormat="1" applyFont="1" applyBorder="1" applyAlignment="1">
      <alignment horizontal="right" wrapText="1"/>
    </xf>
    <xf numFmtId="0" fontId="24" fillId="0" borderId="0" xfId="2" applyFont="1" applyAlignment="1">
      <alignment horizontal="right" vertical="top" wrapText="1"/>
    </xf>
    <xf numFmtId="164" fontId="25" fillId="0" borderId="26" xfId="2" applyNumberFormat="1" applyFont="1" applyBorder="1" applyAlignment="1">
      <alignment horizontal="right" wrapText="1"/>
    </xf>
    <xf numFmtId="0" fontId="29" fillId="0" borderId="3" xfId="2" applyFont="1" applyBorder="1" applyAlignment="1">
      <alignment horizontal="left" vertical="top" wrapText="1"/>
    </xf>
    <xf numFmtId="172" fontId="21" fillId="2" borderId="3" xfId="2" applyNumberFormat="1" applyFont="1" applyFill="1" applyBorder="1" applyAlignment="1">
      <alignment wrapText="1"/>
    </xf>
    <xf numFmtId="172" fontId="25" fillId="0" borderId="3" xfId="2" applyNumberFormat="1" applyFont="1" applyBorder="1" applyAlignment="1">
      <alignment wrapText="1"/>
    </xf>
    <xf numFmtId="0" fontId="25" fillId="0" borderId="13" xfId="2" applyFont="1" applyBorder="1">
      <alignment horizontal="left" wrapText="1"/>
    </xf>
    <xf numFmtId="172" fontId="21" fillId="2" borderId="13" xfId="2" applyNumberFormat="1" applyFont="1" applyFill="1" applyBorder="1" applyAlignment="1">
      <alignment wrapText="1"/>
    </xf>
    <xf numFmtId="172" fontId="25" fillId="0" borderId="13" xfId="2" applyNumberFormat="1" applyFont="1" applyBorder="1" applyAlignment="1">
      <alignment wrapText="1"/>
    </xf>
    <xf numFmtId="176" fontId="21" fillId="2" borderId="9" xfId="2" applyNumberFormat="1" applyFont="1" applyFill="1" applyBorder="1" applyAlignment="1">
      <alignment horizontal="right" wrapText="1"/>
    </xf>
    <xf numFmtId="176" fontId="25" fillId="0" borderId="9" xfId="2" applyNumberFormat="1" applyFont="1" applyBorder="1" applyAlignment="1">
      <alignment horizontal="right" wrapText="1"/>
    </xf>
    <xf numFmtId="178" fontId="29" fillId="2" borderId="4" xfId="2" applyNumberFormat="1" applyFont="1" applyFill="1" applyBorder="1" applyAlignment="1">
      <alignment wrapText="1"/>
    </xf>
    <xf numFmtId="178" fontId="24" fillId="0" borderId="4" xfId="2" applyNumberFormat="1" applyFont="1" applyBorder="1" applyAlignment="1">
      <alignment wrapText="1"/>
    </xf>
    <xf numFmtId="0" fontId="21" fillId="0" borderId="0" xfId="2" applyFont="1" applyAlignment="1">
      <alignment horizontal="center" wrapText="1"/>
    </xf>
    <xf numFmtId="0" fontId="24" fillId="0" borderId="27" xfId="2" applyFont="1" applyBorder="1">
      <alignment horizontal="left" wrapText="1"/>
    </xf>
    <xf numFmtId="0" fontId="21" fillId="0" borderId="26" xfId="2" applyFont="1" applyBorder="1" applyAlignment="1">
      <alignment horizontal="right" wrapText="1"/>
    </xf>
    <xf numFmtId="0" fontId="24" fillId="0" borderId="26" xfId="2" applyFont="1" applyBorder="1" applyAlignment="1">
      <alignment horizontal="right" wrapText="1"/>
    </xf>
    <xf numFmtId="172" fontId="21" fillId="2" borderId="2" xfId="2" applyNumberFormat="1" applyFont="1" applyFill="1" applyBorder="1" applyAlignment="1">
      <alignment wrapText="1"/>
    </xf>
    <xf numFmtId="172" fontId="25" fillId="0" borderId="2" xfId="2" applyNumberFormat="1" applyFont="1" applyBorder="1" applyAlignment="1">
      <alignment wrapText="1"/>
    </xf>
    <xf numFmtId="172" fontId="21" fillId="2" borderId="4" xfId="2" applyNumberFormat="1" applyFont="1" applyFill="1" applyBorder="1" applyAlignment="1">
      <alignment wrapText="1"/>
    </xf>
    <xf numFmtId="166" fontId="21" fillId="2" borderId="4" xfId="2" applyNumberFormat="1" applyFont="1" applyFill="1" applyBorder="1" applyAlignment="1">
      <alignment horizontal="right" wrapText="1"/>
    </xf>
    <xf numFmtId="166" fontId="25" fillId="0" borderId="4" xfId="2" applyNumberFormat="1" applyFont="1" applyBorder="1" applyAlignment="1">
      <alignment horizontal="right" wrapText="1"/>
    </xf>
    <xf numFmtId="0" fontId="24" fillId="0" borderId="26" xfId="2" applyFont="1" applyBorder="1">
      <alignment horizontal="left" wrapText="1"/>
    </xf>
    <xf numFmtId="178" fontId="29" fillId="2" borderId="26" xfId="2" applyNumberFormat="1" applyFont="1" applyFill="1" applyBorder="1" applyAlignment="1">
      <alignment wrapText="1"/>
    </xf>
    <xf numFmtId="178" fontId="24" fillId="0" borderId="26" xfId="2" applyNumberFormat="1" applyFont="1" applyBorder="1" applyAlignment="1">
      <alignment wrapText="1"/>
    </xf>
    <xf numFmtId="176" fontId="29" fillId="2" borderId="3" xfId="2" applyNumberFormat="1" applyFont="1" applyFill="1" applyBorder="1" applyAlignment="1">
      <alignment horizontal="right" wrapText="1"/>
    </xf>
    <xf numFmtId="176" fontId="24" fillId="0" borderId="3" xfId="2" applyNumberFormat="1" applyFont="1" applyBorder="1" applyAlignment="1">
      <alignment horizontal="right" wrapText="1"/>
    </xf>
    <xf numFmtId="172" fontId="24" fillId="0" borderId="4" xfId="2" applyNumberFormat="1" applyFont="1" applyBorder="1" applyAlignment="1">
      <alignment wrapText="1"/>
    </xf>
    <xf numFmtId="179" fontId="24" fillId="0" borderId="3" xfId="2" applyNumberFormat="1" applyFont="1" applyBorder="1" applyAlignment="1">
      <alignment wrapText="1"/>
    </xf>
    <xf numFmtId="172" fontId="21" fillId="2" borderId="9" xfId="2" applyNumberFormat="1" applyFont="1" applyFill="1" applyBorder="1" applyAlignment="1">
      <alignment wrapText="1"/>
    </xf>
    <xf numFmtId="172" fontId="25" fillId="0" borderId="9" xfId="2" applyNumberFormat="1" applyFont="1" applyBorder="1" applyAlignment="1">
      <alignment wrapText="1"/>
    </xf>
    <xf numFmtId="0" fontId="25" fillId="0" borderId="9" xfId="2" applyFont="1" applyBorder="1" applyAlignment="1">
      <alignment horizontal="right" wrapText="1"/>
    </xf>
    <xf numFmtId="0" fontId="34" fillId="0" borderId="2" xfId="2" applyFont="1" applyBorder="1" applyAlignment="1">
      <alignment horizontal="right" wrapText="1"/>
    </xf>
    <xf numFmtId="180" fontId="24" fillId="0" borderId="3" xfId="2" applyNumberFormat="1" applyFont="1" applyBorder="1" applyAlignment="1">
      <alignment wrapText="1"/>
    </xf>
    <xf numFmtId="180" fontId="25" fillId="0" borderId="3" xfId="2" applyNumberFormat="1" applyFont="1" applyBorder="1" applyAlignment="1">
      <alignment wrapText="1"/>
    </xf>
    <xf numFmtId="169" fontId="25" fillId="0" borderId="4" xfId="2" applyNumberFormat="1" applyFont="1" applyBorder="1" applyAlignment="1">
      <alignment wrapText="1"/>
    </xf>
    <xf numFmtId="180" fontId="25" fillId="0" borderId="4" xfId="2" applyNumberFormat="1" applyFont="1" applyBorder="1" applyAlignment="1">
      <alignment wrapText="1"/>
    </xf>
    <xf numFmtId="0" fontId="24" fillId="3" borderId="2" xfId="2" applyFont="1" applyFill="1" applyBorder="1">
      <alignment horizontal="left" wrapText="1"/>
    </xf>
    <xf numFmtId="0" fontId="24" fillId="3" borderId="3" xfId="2" applyFont="1" applyFill="1" applyBorder="1">
      <alignment horizontal="left" wrapText="1"/>
    </xf>
    <xf numFmtId="0" fontId="24" fillId="0" borderId="3" xfId="2" applyFont="1" applyBorder="1" applyAlignment="1">
      <alignment horizontal="left" vertical="center" wrapText="1"/>
    </xf>
    <xf numFmtId="0" fontId="27" fillId="0" borderId="3" xfId="2" applyFont="1" applyBorder="1">
      <alignment horizontal="left" wrapText="1"/>
    </xf>
    <xf numFmtId="0" fontId="21" fillId="0" borderId="3" xfId="2" applyFont="1" applyBorder="1">
      <alignment horizontal="left" wrapText="1"/>
    </xf>
    <xf numFmtId="0" fontId="27" fillId="0" borderId="4" xfId="2" applyFont="1" applyBorder="1">
      <alignment horizontal="left" wrapText="1"/>
    </xf>
    <xf numFmtId="0" fontId="27" fillId="0" borderId="9" xfId="2" applyFont="1" applyBorder="1" applyAlignment="1">
      <alignment horizontal="right" wrapText="1"/>
    </xf>
    <xf numFmtId="164" fontId="24" fillId="0" borderId="26" xfId="2" applyNumberFormat="1" applyFont="1" applyBorder="1" applyAlignment="1">
      <alignment horizontal="right" wrapText="1"/>
    </xf>
    <xf numFmtId="181" fontId="24" fillId="0" borderId="3" xfId="2" applyNumberFormat="1" applyFont="1" applyBorder="1" applyAlignment="1">
      <alignment horizontal="right" wrapText="1"/>
    </xf>
    <xf numFmtId="173" fontId="29" fillId="2" borderId="2" xfId="2" applyNumberFormat="1" applyFont="1" applyFill="1" applyBorder="1" applyAlignment="1">
      <alignment horizontal="right" vertical="center" wrapText="1"/>
    </xf>
    <xf numFmtId="173" fontId="29" fillId="2" borderId="3" xfId="2" applyNumberFormat="1" applyFont="1" applyFill="1" applyBorder="1" applyAlignment="1">
      <alignment horizontal="right" vertical="center" wrapText="1"/>
    </xf>
    <xf numFmtId="173" fontId="29" fillId="2" borderId="4" xfId="2" applyNumberFormat="1" applyFont="1" applyFill="1" applyBorder="1" applyAlignment="1">
      <alignment horizontal="right" vertical="center" wrapText="1"/>
    </xf>
    <xf numFmtId="0" fontId="27" fillId="0" borderId="2" xfId="2" applyFont="1" applyBorder="1">
      <alignment horizontal="left" wrapText="1"/>
    </xf>
    <xf numFmtId="0" fontId="27" fillId="0" borderId="9" xfId="2" applyFont="1" applyBorder="1">
      <alignment horizontal="left" wrapText="1"/>
    </xf>
    <xf numFmtId="0" fontId="27" fillId="0" borderId="0" xfId="2" applyFont="1">
      <alignment horizontal="left" wrapText="1"/>
    </xf>
    <xf numFmtId="0" fontId="29" fillId="2" borderId="4" xfId="2" applyFont="1" applyFill="1" applyBorder="1" applyAlignment="1">
      <alignment horizontal="right" wrapText="1"/>
    </xf>
    <xf numFmtId="0" fontId="35" fillId="0" borderId="4" xfId="2" applyFont="1" applyBorder="1">
      <alignment horizontal="left" wrapText="1"/>
    </xf>
    <xf numFmtId="181" fontId="29" fillId="2" borderId="2" xfId="2" applyNumberFormat="1" applyFont="1" applyFill="1" applyBorder="1" applyAlignment="1">
      <alignment horizontal="right" wrapText="1"/>
    </xf>
    <xf numFmtId="181" fontId="29" fillId="2" borderId="3" xfId="2" applyNumberFormat="1" applyFont="1" applyFill="1" applyBorder="1" applyAlignment="1">
      <alignment horizontal="right" wrapText="1"/>
    </xf>
    <xf numFmtId="164" fontId="29" fillId="2" borderId="2" xfId="2" applyNumberFormat="1" applyFont="1" applyFill="1" applyBorder="1" applyAlignment="1">
      <alignment horizontal="right" wrapText="1"/>
    </xf>
    <xf numFmtId="164" fontId="29" fillId="2" borderId="3" xfId="2" applyNumberFormat="1" applyFont="1" applyFill="1" applyBorder="1" applyAlignment="1">
      <alignment horizontal="right" wrapText="1"/>
    </xf>
    <xf numFmtId="164" fontId="29" fillId="2" borderId="4" xfId="2" applyNumberFormat="1" applyFont="1" applyFill="1" applyBorder="1" applyAlignment="1">
      <alignment horizontal="right" wrapText="1"/>
    </xf>
    <xf numFmtId="0" fontId="21" fillId="0" borderId="2" xfId="2" applyFont="1" applyBorder="1">
      <alignment horizontal="left" wrapText="1"/>
    </xf>
    <xf numFmtId="0" fontId="25" fillId="0" borderId="13" xfId="2" applyFont="1" applyBorder="1" applyAlignment="1">
      <alignment horizontal="right" wrapText="1"/>
    </xf>
    <xf numFmtId="0" fontId="25" fillId="0" borderId="0" xfId="2" applyFont="1" applyAlignment="1">
      <alignment horizontal="right" wrapText="1"/>
    </xf>
    <xf numFmtId="0" fontId="24" fillId="0" borderId="3" xfId="2" applyFont="1" applyBorder="1" applyAlignment="1">
      <alignment horizontal="left" wrapText="1" indent="1"/>
    </xf>
    <xf numFmtId="0" fontId="6" fillId="0" borderId="0" xfId="2" applyFont="1">
      <alignment horizontal="left" wrapText="1"/>
    </xf>
    <xf numFmtId="0" fontId="25" fillId="0" borderId="20" xfId="2" applyFont="1" applyBorder="1">
      <alignment horizontal="left" wrapText="1"/>
    </xf>
    <xf numFmtId="0" fontId="24" fillId="0" borderId="2" xfId="2" applyFont="1" applyBorder="1" applyAlignment="1">
      <alignment horizontal="left" vertical="center" wrapText="1"/>
    </xf>
    <xf numFmtId="0" fontId="29" fillId="0" borderId="2" xfId="2" applyFont="1" applyBorder="1" applyAlignment="1">
      <alignment horizontal="left" vertical="center" wrapText="1"/>
    </xf>
    <xf numFmtId="0" fontId="24" fillId="0" borderId="9" xfId="2" applyFont="1" applyBorder="1" applyAlignment="1">
      <alignment horizontal="left" vertical="center" wrapText="1"/>
    </xf>
    <xf numFmtId="0" fontId="24" fillId="0" borderId="9" xfId="2" applyFont="1" applyBorder="1" applyAlignment="1">
      <alignment horizontal="center" vertical="center" wrapText="1"/>
    </xf>
    <xf numFmtId="0" fontId="6" fillId="0" borderId="5" xfId="2" applyFont="1" applyBorder="1">
      <alignment horizontal="left" wrapText="1"/>
    </xf>
    <xf numFmtId="184" fontId="24" fillId="0" borderId="3" xfId="2" applyNumberFormat="1" applyFont="1" applyBorder="1" applyAlignment="1">
      <alignment wrapText="1"/>
    </xf>
    <xf numFmtId="184" fontId="24" fillId="0" borderId="4" xfId="2" applyNumberFormat="1" applyFont="1" applyBorder="1" applyAlignment="1">
      <alignment wrapText="1"/>
    </xf>
    <xf numFmtId="0" fontId="24" fillId="0" borderId="2" xfId="2" applyFont="1" applyBorder="1" applyAlignment="1">
      <alignment horizontal="left" wrapText="1" indent="1"/>
    </xf>
    <xf numFmtId="0" fontId="24" fillId="0" borderId="32" xfId="2" applyFont="1" applyBorder="1">
      <alignment horizontal="left" wrapText="1"/>
    </xf>
    <xf numFmtId="0" fontId="46" fillId="0" borderId="0" xfId="0" applyFont="1"/>
    <xf numFmtId="49" fontId="24" fillId="0" borderId="4" xfId="2" applyNumberFormat="1" applyFont="1" applyBorder="1" applyAlignment="1">
      <alignment horizontal="right" wrapText="1"/>
    </xf>
    <xf numFmtId="49" fontId="29" fillId="2" borderId="4" xfId="2" applyNumberFormat="1" applyFont="1" applyFill="1" applyBorder="1" applyAlignment="1">
      <alignment horizontal="right" wrapText="1"/>
    </xf>
    <xf numFmtId="9" fontId="24" fillId="0" borderId="4" xfId="2" applyNumberFormat="1" applyFont="1" applyBorder="1" applyAlignment="1">
      <alignment horizontal="left" vertical="top" wrapText="1"/>
    </xf>
    <xf numFmtId="0" fontId="24" fillId="0" borderId="0" xfId="2" applyFont="1" applyBorder="1">
      <alignment horizontal="left" wrapText="1"/>
    </xf>
    <xf numFmtId="174" fontId="29" fillId="2" borderId="33" xfId="2" applyNumberFormat="1" applyFont="1" applyFill="1" applyBorder="1" applyAlignment="1">
      <alignment horizontal="right" vertical="center" wrapText="1"/>
    </xf>
    <xf numFmtId="174" fontId="29" fillId="2" borderId="33" xfId="2" applyNumberFormat="1" applyFont="1" applyFill="1" applyBorder="1" applyAlignment="1">
      <alignment horizontal="right" wrapText="1"/>
    </xf>
    <xf numFmtId="169" fontId="29" fillId="2" borderId="33" xfId="2" applyNumberFormat="1" applyFont="1" applyFill="1" applyBorder="1" applyAlignment="1">
      <alignment wrapText="1"/>
    </xf>
    <xf numFmtId="49" fontId="24" fillId="0" borderId="2" xfId="2" applyNumberFormat="1" applyFont="1" applyBorder="1" applyAlignment="1">
      <alignment horizontal="right" wrapText="1"/>
    </xf>
    <xf numFmtId="49" fontId="29" fillId="2" borderId="2" xfId="2" applyNumberFormat="1" applyFont="1" applyFill="1" applyBorder="1" applyAlignment="1">
      <alignment horizontal="right" wrapText="1"/>
    </xf>
    <xf numFmtId="172" fontId="29" fillId="2" borderId="33" xfId="2" applyNumberFormat="1" applyFont="1" applyFill="1" applyBorder="1" applyAlignment="1">
      <alignment wrapText="1"/>
    </xf>
    <xf numFmtId="0" fontId="24" fillId="0" borderId="33" xfId="2" applyFont="1" applyBorder="1">
      <alignment horizontal="left" wrapText="1"/>
    </xf>
    <xf numFmtId="172" fontId="24" fillId="0" borderId="33" xfId="2" applyNumberFormat="1" applyFont="1" applyBorder="1" applyAlignment="1">
      <alignment wrapText="1"/>
    </xf>
    <xf numFmtId="169" fontId="24" fillId="0" borderId="33" xfId="2" applyNumberFormat="1" applyFont="1" applyBorder="1" applyAlignment="1">
      <alignment wrapText="1"/>
    </xf>
    <xf numFmtId="172" fontId="29" fillId="4" borderId="2" xfId="2" applyNumberFormat="1" applyFont="1" applyFill="1" applyBorder="1" applyAlignment="1">
      <alignment wrapText="1"/>
    </xf>
    <xf numFmtId="172" fontId="29" fillId="4" borderId="3" xfId="2" applyNumberFormat="1" applyFont="1" applyFill="1" applyBorder="1" applyAlignment="1">
      <alignment wrapText="1"/>
    </xf>
    <xf numFmtId="0" fontId="29" fillId="4" borderId="3" xfId="2" applyFont="1" applyFill="1" applyBorder="1" applyAlignment="1">
      <alignment horizontal="right" wrapText="1"/>
    </xf>
    <xf numFmtId="173" fontId="29" fillId="4" borderId="3" xfId="2" applyNumberFormat="1" applyFont="1" applyFill="1" applyBorder="1" applyAlignment="1">
      <alignment horizontal="right" wrapText="1"/>
    </xf>
    <xf numFmtId="172" fontId="29" fillId="4" borderId="3" xfId="2" applyNumberFormat="1" applyFont="1" applyFill="1" applyBorder="1" applyAlignment="1">
      <alignment vertical="center" wrapText="1"/>
    </xf>
    <xf numFmtId="0" fontId="29" fillId="4" borderId="3" xfId="2" applyFont="1" applyFill="1" applyBorder="1" applyAlignment="1">
      <alignment horizontal="right" vertical="center" wrapText="1"/>
    </xf>
    <xf numFmtId="172" fontId="21" fillId="4" borderId="4" xfId="2" applyNumberFormat="1" applyFont="1" applyFill="1" applyBorder="1" applyAlignment="1">
      <alignment wrapText="1"/>
    </xf>
    <xf numFmtId="173" fontId="29" fillId="4" borderId="2" xfId="2" applyNumberFormat="1" applyFont="1" applyFill="1" applyBorder="1" applyAlignment="1">
      <alignment horizontal="right" wrapText="1"/>
    </xf>
    <xf numFmtId="0" fontId="29" fillId="4" borderId="2" xfId="2" applyFont="1" applyFill="1" applyBorder="1" applyAlignment="1">
      <alignment horizontal="right" wrapText="1"/>
    </xf>
    <xf numFmtId="173" fontId="21" fillId="4" borderId="4" xfId="2" applyNumberFormat="1" applyFont="1" applyFill="1" applyBorder="1" applyAlignment="1">
      <alignment horizontal="right" wrapText="1"/>
    </xf>
    <xf numFmtId="0" fontId="21" fillId="4" borderId="4" xfId="2" applyFont="1" applyFill="1" applyBorder="1" applyAlignment="1">
      <alignment horizontal="right" wrapText="1"/>
    </xf>
    <xf numFmtId="177" fontId="29" fillId="4" borderId="3" xfId="2" applyNumberFormat="1" applyFont="1" applyFill="1" applyBorder="1" applyAlignment="1">
      <alignment horizontal="right" wrapText="1"/>
    </xf>
    <xf numFmtId="0" fontId="29" fillId="4" borderId="13" xfId="2" applyFont="1" applyFill="1" applyBorder="1" applyAlignment="1">
      <alignment horizontal="right" wrapText="1"/>
    </xf>
    <xf numFmtId="0" fontId="24" fillId="0" borderId="34" xfId="2" applyFont="1" applyBorder="1" applyAlignment="1">
      <alignment horizontal="right" wrapText="1"/>
    </xf>
    <xf numFmtId="0" fontId="24" fillId="0" borderId="35" xfId="2" applyFont="1" applyBorder="1">
      <alignment horizontal="left" wrapText="1"/>
    </xf>
    <xf numFmtId="0" fontId="24" fillId="0" borderId="36" xfId="2" applyFont="1" applyBorder="1">
      <alignment horizontal="left" wrapText="1"/>
    </xf>
    <xf numFmtId="0" fontId="24" fillId="0" borderId="37" xfId="2" applyFont="1" applyBorder="1">
      <alignment horizontal="left" wrapText="1"/>
    </xf>
    <xf numFmtId="49" fontId="24" fillId="0" borderId="3" xfId="2" applyNumberFormat="1" applyFont="1" applyBorder="1" applyAlignment="1">
      <alignment horizontal="right" wrapText="1"/>
    </xf>
    <xf numFmtId="173" fontId="51" fillId="0" borderId="4" xfId="2" applyNumberFormat="1" applyFont="1" applyBorder="1" applyAlignment="1">
      <alignment horizontal="right" wrapText="1"/>
    </xf>
    <xf numFmtId="164" fontId="51" fillId="0" borderId="26" xfId="2" applyNumberFormat="1" applyFont="1" applyBorder="1" applyAlignment="1">
      <alignment horizontal="right" wrapText="1"/>
    </xf>
    <xf numFmtId="0" fontId="27" fillId="0" borderId="0" xfId="2" applyFont="1" applyBorder="1" applyAlignment="1">
      <alignment horizontal="left" vertical="top" wrapText="1"/>
    </xf>
    <xf numFmtId="0" fontId="27" fillId="0" borderId="9" xfId="2" applyFont="1" applyBorder="1" applyAlignment="1">
      <alignment horizontal="left" vertical="top" wrapText="1"/>
    </xf>
    <xf numFmtId="0" fontId="24" fillId="0" borderId="0" xfId="2" applyFont="1" applyBorder="1" applyAlignment="1">
      <alignment horizontal="left" vertical="top" wrapText="1"/>
    </xf>
    <xf numFmtId="169" fontId="29" fillId="4" borderId="2" xfId="2" applyNumberFormat="1" applyFont="1" applyFill="1" applyBorder="1" applyAlignment="1">
      <alignment wrapText="1"/>
    </xf>
    <xf numFmtId="169" fontId="29" fillId="4" borderId="3" xfId="2" applyNumberFormat="1" applyFont="1" applyFill="1" applyBorder="1" applyAlignment="1">
      <alignment wrapText="1"/>
    </xf>
    <xf numFmtId="179" fontId="29" fillId="4" borderId="3" xfId="2" applyNumberFormat="1" applyFont="1" applyFill="1" applyBorder="1" applyAlignment="1">
      <alignment wrapText="1"/>
    </xf>
    <xf numFmtId="166" fontId="29" fillId="4" borderId="3" xfId="2" applyNumberFormat="1" applyFont="1" applyFill="1" applyBorder="1" applyAlignment="1">
      <alignment horizontal="right" wrapText="1"/>
    </xf>
    <xf numFmtId="169" fontId="29" fillId="4" borderId="4" xfId="2" applyNumberFormat="1" applyFont="1" applyFill="1" applyBorder="1" applyAlignment="1">
      <alignment wrapText="1"/>
    </xf>
    <xf numFmtId="172" fontId="29" fillId="4" borderId="4" xfId="2" applyNumberFormat="1" applyFont="1" applyFill="1" applyBorder="1" applyAlignment="1">
      <alignment wrapText="1"/>
    </xf>
    <xf numFmtId="0" fontId="51" fillId="0" borderId="9" xfId="2" applyFont="1" applyBorder="1">
      <alignment horizontal="left" wrapText="1"/>
    </xf>
    <xf numFmtId="0" fontId="29" fillId="0" borderId="3" xfId="2" applyFont="1" applyBorder="1" applyAlignment="1">
      <alignment horizontal="right" wrapText="1"/>
    </xf>
    <xf numFmtId="0" fontId="24" fillId="5" borderId="2" xfId="2" applyFont="1" applyFill="1" applyBorder="1">
      <alignment horizontal="left" wrapText="1"/>
    </xf>
    <xf numFmtId="0" fontId="24" fillId="5" borderId="2" xfId="2" applyFont="1" applyFill="1" applyBorder="1" applyAlignment="1">
      <alignment horizontal="right" wrapText="1"/>
    </xf>
    <xf numFmtId="0" fontId="24" fillId="0" borderId="38" xfId="2" applyFont="1" applyBorder="1" applyAlignment="1">
      <alignment horizontal="center" wrapText="1"/>
    </xf>
    <xf numFmtId="0" fontId="21" fillId="0" borderId="39" xfId="2" applyFont="1" applyBorder="1" applyAlignment="1">
      <alignment horizontal="right" wrapText="1"/>
    </xf>
    <xf numFmtId="0" fontId="29" fillId="5" borderId="40" xfId="2" applyFont="1" applyFill="1" applyBorder="1">
      <alignment horizontal="left" wrapText="1"/>
    </xf>
    <xf numFmtId="174" fontId="29" fillId="2" borderId="41" xfId="2" applyNumberFormat="1" applyFont="1" applyFill="1" applyBorder="1" applyAlignment="1">
      <alignment horizontal="right" wrapText="1"/>
    </xf>
    <xf numFmtId="173" fontId="29" fillId="2" borderId="41" xfId="2" applyNumberFormat="1" applyFont="1" applyFill="1" applyBorder="1" applyAlignment="1">
      <alignment horizontal="right" wrapText="1"/>
    </xf>
    <xf numFmtId="181" fontId="21" fillId="2" borderId="41" xfId="2" applyNumberFormat="1" applyFont="1" applyFill="1" applyBorder="1" applyAlignment="1">
      <alignment horizontal="right" wrapText="1"/>
    </xf>
    <xf numFmtId="174" fontId="21" fillId="2" borderId="41" xfId="2" applyNumberFormat="1" applyFont="1" applyFill="1" applyBorder="1" applyAlignment="1">
      <alignment horizontal="right" wrapText="1"/>
    </xf>
    <xf numFmtId="182" fontId="29" fillId="2" borderId="41" xfId="2" applyNumberFormat="1" applyFont="1" applyFill="1" applyBorder="1" applyAlignment="1">
      <alignment horizontal="right" wrapText="1"/>
    </xf>
    <xf numFmtId="182" fontId="29" fillId="2" borderId="42" xfId="2" applyNumberFormat="1" applyFont="1" applyFill="1" applyBorder="1" applyAlignment="1">
      <alignment horizontal="right" wrapText="1"/>
    </xf>
    <xf numFmtId="0" fontId="24" fillId="5" borderId="3" xfId="2" applyFont="1" applyFill="1" applyBorder="1" applyAlignment="1">
      <alignment horizontal="right" wrapText="1"/>
    </xf>
    <xf numFmtId="0" fontId="29" fillId="5" borderId="41" xfId="2" applyFont="1" applyFill="1" applyBorder="1" applyAlignment="1">
      <alignment horizontal="right" wrapText="1"/>
    </xf>
    <xf numFmtId="0" fontId="10" fillId="0" borderId="0" xfId="2" applyFont="1" applyBorder="1" applyAlignment="1">
      <alignment horizontal="left" vertical="top" wrapText="1"/>
    </xf>
    <xf numFmtId="0" fontId="11" fillId="0" borderId="0" xfId="2" applyFont="1" applyBorder="1" applyAlignment="1">
      <alignment horizontal="right" vertical="top" wrapText="1"/>
    </xf>
    <xf numFmtId="183" fontId="29" fillId="2" borderId="0" xfId="2" applyNumberFormat="1" applyFont="1" applyFill="1" applyBorder="1" applyAlignment="1">
      <alignment horizontal="right" vertical="top" wrapText="1"/>
    </xf>
    <xf numFmtId="0" fontId="27" fillId="0" borderId="43" xfId="2" applyFont="1" applyBorder="1" applyAlignment="1">
      <alignment horizontal="left" vertical="top" wrapText="1"/>
    </xf>
    <xf numFmtId="183" fontId="29" fillId="2" borderId="43" xfId="2" applyNumberFormat="1" applyFont="1" applyFill="1" applyBorder="1" applyAlignment="1">
      <alignment horizontal="right" vertical="top" wrapText="1"/>
    </xf>
    <xf numFmtId="0" fontId="27" fillId="0" borderId="33" xfId="2" applyFont="1" applyBorder="1" applyAlignment="1">
      <alignment horizontal="left" vertical="top" wrapText="1"/>
    </xf>
    <xf numFmtId="183" fontId="29" fillId="2" borderId="33" xfId="2" applyNumberFormat="1" applyFont="1" applyFill="1" applyBorder="1" applyAlignment="1">
      <alignment horizontal="right" vertical="top" wrapText="1"/>
    </xf>
    <xf numFmtId="164" fontId="29" fillId="4" borderId="3" xfId="2" applyNumberFormat="1" applyFont="1" applyFill="1" applyBorder="1" applyAlignment="1">
      <alignment horizontal="right" wrapText="1"/>
    </xf>
    <xf numFmtId="49" fontId="29" fillId="4" borderId="3" xfId="2" applyNumberFormat="1" applyFont="1" applyFill="1" applyBorder="1" applyAlignment="1">
      <alignment horizontal="right" wrapText="1"/>
    </xf>
    <xf numFmtId="49" fontId="29" fillId="4" borderId="4" xfId="2" applyNumberFormat="1" applyFont="1" applyFill="1" applyBorder="1" applyAlignment="1">
      <alignment horizontal="right" wrapText="1"/>
    </xf>
    <xf numFmtId="49" fontId="25" fillId="0" borderId="3" xfId="2" applyNumberFormat="1" applyFont="1" applyBorder="1" applyAlignment="1">
      <alignment horizontal="right" wrapText="1"/>
    </xf>
    <xf numFmtId="49" fontId="25" fillId="0" borderId="4" xfId="2" applyNumberFormat="1" applyFont="1" applyBorder="1" applyAlignment="1">
      <alignment horizontal="right" wrapText="1"/>
    </xf>
    <xf numFmtId="0" fontId="25" fillId="5" borderId="3" xfId="2" applyFont="1" applyFill="1" applyBorder="1" applyAlignment="1">
      <alignment horizontal="right" wrapText="1"/>
    </xf>
    <xf numFmtId="0" fontId="24" fillId="0" borderId="28" xfId="2" applyFont="1" applyBorder="1">
      <alignment horizontal="left" wrapText="1"/>
    </xf>
    <xf numFmtId="176" fontId="24" fillId="0" borderId="28" xfId="2" applyNumberFormat="1" applyFont="1" applyBorder="1" applyAlignment="1">
      <alignment horizontal="right" wrapText="1"/>
    </xf>
    <xf numFmtId="0" fontId="24" fillId="0" borderId="29" xfId="2" applyFont="1" applyBorder="1">
      <alignment horizontal="left" wrapText="1"/>
    </xf>
    <xf numFmtId="176" fontId="24" fillId="0" borderId="29" xfId="2" applyNumberFormat="1" applyFont="1" applyBorder="1" applyAlignment="1">
      <alignment horizontal="right" wrapText="1"/>
    </xf>
    <xf numFmtId="0" fontId="24" fillId="0" borderId="30" xfId="2" applyFont="1" applyBorder="1">
      <alignment horizontal="left" wrapText="1"/>
    </xf>
    <xf numFmtId="176" fontId="24" fillId="0" borderId="30" xfId="2" applyNumberFormat="1" applyFont="1" applyBorder="1" applyAlignment="1">
      <alignment horizontal="right" wrapText="1"/>
    </xf>
    <xf numFmtId="49" fontId="25" fillId="0" borderId="20" xfId="2" applyNumberFormat="1" applyFont="1" applyBorder="1" applyAlignment="1">
      <alignment horizontal="right" wrapText="1"/>
    </xf>
    <xf numFmtId="0" fontId="25" fillId="0" borderId="0" xfId="2" applyFont="1" applyBorder="1">
      <alignment horizontal="left" wrapText="1"/>
    </xf>
    <xf numFmtId="0" fontId="33" fillId="0" borderId="44" xfId="2" applyFont="1" applyBorder="1">
      <alignment horizontal="left" wrapText="1"/>
    </xf>
    <xf numFmtId="0" fontId="25" fillId="0" borderId="45" xfId="2" applyFont="1" applyBorder="1">
      <alignment horizontal="left" wrapText="1"/>
    </xf>
    <xf numFmtId="0" fontId="33" fillId="0" borderId="46" xfId="2" applyFont="1" applyBorder="1">
      <alignment horizontal="left" wrapText="1"/>
    </xf>
    <xf numFmtId="164" fontId="24" fillId="0" borderId="47" xfId="2" applyNumberFormat="1" applyFont="1" applyBorder="1" applyAlignment="1">
      <alignment horizontal="left" vertical="top" wrapText="1"/>
    </xf>
    <xf numFmtId="0" fontId="27" fillId="0" borderId="48" xfId="2" applyFont="1" applyBorder="1">
      <alignment horizontal="left" wrapText="1"/>
    </xf>
    <xf numFmtId="0" fontId="24" fillId="0" borderId="47" xfId="2" applyFont="1" applyBorder="1" applyAlignment="1">
      <alignment horizontal="left" vertical="top" wrapText="1"/>
    </xf>
    <xf numFmtId="0" fontId="25" fillId="0" borderId="48" xfId="2" applyFont="1" applyBorder="1">
      <alignment horizontal="left" wrapText="1"/>
    </xf>
    <xf numFmtId="0" fontId="24" fillId="0" borderId="48" xfId="2" applyFont="1" applyBorder="1">
      <alignment horizontal="left" wrapText="1"/>
    </xf>
    <xf numFmtId="164" fontId="24" fillId="0" borderId="50" xfId="2" applyNumberFormat="1" applyFont="1" applyBorder="1" applyAlignment="1">
      <alignment horizontal="left" vertical="top" wrapText="1"/>
    </xf>
    <xf numFmtId="0" fontId="24" fillId="0" borderId="51" xfId="2" applyFont="1" applyBorder="1">
      <alignment horizontal="left" wrapText="1"/>
    </xf>
    <xf numFmtId="0" fontId="24" fillId="0" borderId="49" xfId="2" applyFont="1" applyBorder="1" applyAlignment="1">
      <alignment horizontal="right" wrapText="1"/>
    </xf>
    <xf numFmtId="0" fontId="24" fillId="0" borderId="52" xfId="2" applyFont="1" applyBorder="1" applyAlignment="1">
      <alignment horizontal="right" wrapText="1"/>
    </xf>
    <xf numFmtId="172" fontId="21" fillId="4" borderId="2" xfId="2" applyNumberFormat="1" applyFont="1" applyFill="1" applyBorder="1" applyAlignment="1">
      <alignment wrapText="1"/>
    </xf>
    <xf numFmtId="172" fontId="21" fillId="4" borderId="3" xfId="2" applyNumberFormat="1" applyFont="1" applyFill="1" applyBorder="1" applyAlignment="1">
      <alignment wrapText="1"/>
    </xf>
    <xf numFmtId="184" fontId="29" fillId="4" borderId="3" xfId="2" applyNumberFormat="1" applyFont="1" applyFill="1" applyBorder="1" applyAlignment="1">
      <alignment wrapText="1"/>
    </xf>
    <xf numFmtId="184" fontId="29" fillId="4" borderId="4" xfId="2" applyNumberFormat="1" applyFont="1" applyFill="1" applyBorder="1" applyAlignment="1">
      <alignment wrapText="1"/>
    </xf>
    <xf numFmtId="0" fontId="26" fillId="4" borderId="3" xfId="2" applyFont="1" applyFill="1" applyBorder="1" applyAlignment="1">
      <alignment horizontal="right" wrapText="1"/>
    </xf>
    <xf numFmtId="172" fontId="29" fillId="2" borderId="3" xfId="2" applyNumberFormat="1" applyFont="1" applyFill="1" applyBorder="1" applyAlignment="1">
      <alignment horizontal="right" wrapText="1"/>
    </xf>
    <xf numFmtId="0" fontId="21" fillId="4" borderId="31" xfId="2" applyFont="1" applyFill="1" applyBorder="1">
      <alignment horizontal="left" wrapText="1"/>
    </xf>
    <xf numFmtId="172" fontId="21" fillId="4" borderId="31" xfId="2" applyNumberFormat="1" applyFont="1" applyFill="1" applyBorder="1" applyAlignment="1">
      <alignment wrapText="1"/>
    </xf>
    <xf numFmtId="0" fontId="29" fillId="4" borderId="20" xfId="2" applyFont="1" applyFill="1" applyBorder="1" applyAlignment="1">
      <alignment horizontal="right" wrapText="1"/>
    </xf>
    <xf numFmtId="0" fontId="53" fillId="0" borderId="0" xfId="14" applyFont="1">
      <alignment horizontal="left" wrapText="1"/>
    </xf>
    <xf numFmtId="168" fontId="21" fillId="2" borderId="2" xfId="2" applyNumberFormat="1" applyFont="1" applyFill="1" applyBorder="1" applyAlignment="1">
      <alignment horizontal="right" wrapText="1"/>
    </xf>
    <xf numFmtId="0" fontId="21" fillId="0" borderId="5" xfId="2" applyFont="1" applyBorder="1" applyAlignment="1">
      <alignment horizontal="right" wrapText="1"/>
    </xf>
    <xf numFmtId="0" fontId="54" fillId="0" borderId="9" xfId="2" applyFont="1" applyBorder="1" applyAlignment="1">
      <alignment horizontal="right" wrapText="1"/>
    </xf>
    <xf numFmtId="181" fontId="21" fillId="2" borderId="4" xfId="2" applyNumberFormat="1" applyFont="1" applyFill="1" applyBorder="1" applyAlignment="1">
      <alignment horizontal="right" wrapText="1"/>
    </xf>
    <xf numFmtId="164" fontId="21" fillId="4" borderId="2" xfId="2" applyNumberFormat="1" applyFont="1" applyFill="1" applyBorder="1" applyAlignment="1">
      <alignment horizontal="right" wrapText="1"/>
    </xf>
    <xf numFmtId="164" fontId="21" fillId="4" borderId="3" xfId="2" applyNumberFormat="1" applyFont="1" applyFill="1" applyBorder="1" applyAlignment="1">
      <alignment horizontal="right" wrapText="1"/>
    </xf>
    <xf numFmtId="49" fontId="21" fillId="4" borderId="3" xfId="2" applyNumberFormat="1" applyFont="1" applyFill="1" applyBorder="1" applyAlignment="1">
      <alignment horizontal="right" wrapText="1"/>
    </xf>
    <xf numFmtId="0" fontId="21" fillId="0" borderId="0" xfId="2" applyFont="1" applyBorder="1" applyAlignment="1">
      <alignment horizontal="right" wrapText="1"/>
    </xf>
    <xf numFmtId="0" fontId="27" fillId="0" borderId="26" xfId="2" applyFont="1" applyBorder="1">
      <alignment horizontal="left" wrapText="1"/>
    </xf>
    <xf numFmtId="173" fontId="29" fillId="2" borderId="26" xfId="2" applyNumberFormat="1" applyFont="1" applyFill="1" applyBorder="1" applyAlignment="1">
      <alignment horizontal="right" wrapText="1"/>
    </xf>
    <xf numFmtId="0" fontId="24" fillId="0" borderId="43" xfId="2" applyFont="1" applyBorder="1">
      <alignment horizontal="left" wrapText="1"/>
    </xf>
    <xf numFmtId="0" fontId="54" fillId="0" borderId="3" xfId="2" applyFont="1" applyBorder="1">
      <alignment horizontal="left" wrapText="1"/>
    </xf>
    <xf numFmtId="0" fontId="55" fillId="0" borderId="0" xfId="2" applyFont="1">
      <alignment horizontal="left" wrapText="1"/>
    </xf>
    <xf numFmtId="0" fontId="22" fillId="0" borderId="0" xfId="2" applyFont="1">
      <alignment horizontal="left" wrapText="1"/>
    </xf>
    <xf numFmtId="0" fontId="0" fillId="0" borderId="0" xfId="0"/>
    <xf numFmtId="0" fontId="23" fillId="0" borderId="0" xfId="2" applyFont="1">
      <alignment horizontal="left" wrapText="1"/>
    </xf>
    <xf numFmtId="0" fontId="24" fillId="0" borderId="3" xfId="2" applyFont="1" applyBorder="1">
      <alignment horizontal="left" wrapText="1"/>
    </xf>
    <xf numFmtId="0" fontId="49" fillId="0" borderId="5" xfId="2" applyFont="1" applyBorder="1">
      <alignment horizontal="left" wrapText="1"/>
    </xf>
    <xf numFmtId="0" fontId="24" fillId="0" borderId="4" xfId="2" applyFont="1" applyBorder="1">
      <alignment horizontal="left" wrapText="1"/>
    </xf>
    <xf numFmtId="0" fontId="24" fillId="0" borderId="2" xfId="2" applyFont="1" applyBorder="1" applyAlignment="1">
      <alignment horizontal="center" wrapText="1"/>
    </xf>
    <xf numFmtId="0" fontId="24" fillId="0" borderId="10" xfId="2" applyFont="1" applyBorder="1" applyAlignment="1">
      <alignment horizontal="left" vertical="top" wrapText="1"/>
    </xf>
    <xf numFmtId="0" fontId="24" fillId="0" borderId="13" xfId="2" applyFont="1" applyBorder="1" applyAlignment="1">
      <alignment horizontal="left" vertical="top" wrapText="1"/>
    </xf>
    <xf numFmtId="0" fontId="24" fillId="0" borderId="14" xfId="2" applyFont="1" applyBorder="1" applyAlignment="1">
      <alignment horizontal="left" vertical="top" wrapText="1"/>
    </xf>
    <xf numFmtId="0" fontId="24" fillId="0" borderId="17" xfId="2" applyFont="1" applyBorder="1" applyAlignment="1">
      <alignment horizontal="left" vertical="top" wrapText="1"/>
    </xf>
    <xf numFmtId="0" fontId="35" fillId="0" borderId="2" xfId="2" applyFont="1" applyBorder="1" applyAlignment="1">
      <alignment horizontal="left" vertical="top" wrapText="1"/>
    </xf>
    <xf numFmtId="0" fontId="35" fillId="0" borderId="3" xfId="2" applyFont="1" applyBorder="1" applyAlignment="1">
      <alignment horizontal="left" vertical="top" wrapText="1"/>
    </xf>
    <xf numFmtId="0" fontId="27" fillId="0" borderId="3" xfId="2" applyFont="1" applyBorder="1" applyAlignment="1">
      <alignment horizontal="left" vertical="top" wrapText="1"/>
    </xf>
    <xf numFmtId="0" fontId="13" fillId="0" borderId="5" xfId="2" applyFont="1" applyBorder="1">
      <alignment horizontal="left" wrapText="1"/>
    </xf>
    <xf numFmtId="0" fontId="35" fillId="0" borderId="4" xfId="2" applyFont="1" applyBorder="1" applyAlignment="1">
      <alignment horizontal="left" vertical="top" wrapText="1"/>
    </xf>
    <xf numFmtId="0" fontId="24" fillId="0" borderId="5" xfId="2" applyFont="1" applyBorder="1" applyAlignment="1">
      <alignment horizontal="left" vertical="center" wrapText="1"/>
    </xf>
    <xf numFmtId="0" fontId="25" fillId="0" borderId="2" xfId="2" applyFont="1" applyBorder="1">
      <alignment horizontal="left" wrapText="1"/>
    </xf>
    <xf numFmtId="0" fontId="25" fillId="0" borderId="3" xfId="2" applyFont="1" applyBorder="1" applyAlignment="1">
      <alignment horizontal="left" vertical="top" wrapText="1"/>
    </xf>
    <xf numFmtId="0" fontId="0" fillId="0" borderId="0" xfId="0" applyAlignment="1">
      <alignment horizontal="left"/>
    </xf>
    <xf numFmtId="0" fontId="29" fillId="2" borderId="13" xfId="2" applyFont="1" applyFill="1" applyBorder="1" applyAlignment="1">
      <alignment horizontal="left" vertical="center" wrapText="1"/>
    </xf>
    <xf numFmtId="0" fontId="29" fillId="2" borderId="0" xfId="2" applyFont="1" applyFill="1" applyAlignment="1">
      <alignment horizontal="left" vertical="center" wrapText="1"/>
    </xf>
    <xf numFmtId="0" fontId="29" fillId="2" borderId="9" xfId="2" applyFont="1" applyFill="1" applyBorder="1" applyAlignment="1">
      <alignment horizontal="left" vertical="center" wrapText="1"/>
    </xf>
    <xf numFmtId="0" fontId="0" fillId="0" borderId="0" xfId="0" applyAlignment="1">
      <alignment horizontal="center"/>
    </xf>
    <xf numFmtId="170" fontId="29" fillId="2" borderId="5" xfId="2" applyNumberFormat="1" applyFont="1" applyFill="1" applyBorder="1" applyAlignment="1">
      <alignment horizontal="right" vertical="center" wrapText="1"/>
    </xf>
    <xf numFmtId="0" fontId="29" fillId="2" borderId="0" xfId="2" applyFont="1" applyFill="1" applyAlignment="1">
      <alignment horizontal="right" vertical="center" wrapText="1"/>
    </xf>
    <xf numFmtId="0" fontId="29" fillId="2" borderId="9" xfId="2" applyFont="1" applyFill="1" applyBorder="1" applyAlignment="1">
      <alignment horizontal="right" vertical="center" wrapText="1"/>
    </xf>
    <xf numFmtId="0" fontId="30" fillId="0" borderId="5" xfId="2" applyFont="1" applyBorder="1" applyAlignment="1">
      <alignment horizontal="left" vertical="center" wrapText="1"/>
    </xf>
    <xf numFmtId="171" fontId="29" fillId="2" borderId="5" xfId="2" applyNumberFormat="1" applyFont="1" applyFill="1" applyBorder="1" applyAlignment="1">
      <alignment horizontal="right" vertical="center" wrapText="1"/>
    </xf>
    <xf numFmtId="170" fontId="24" fillId="0" borderId="5" xfId="2" applyNumberFormat="1" applyFont="1" applyBorder="1" applyAlignment="1">
      <alignment horizontal="right" vertical="center" wrapText="1"/>
    </xf>
    <xf numFmtId="0" fontId="24" fillId="0" borderId="0" xfId="2" applyFont="1" applyAlignment="1">
      <alignment horizontal="right" vertical="center" wrapText="1"/>
    </xf>
    <xf numFmtId="0" fontId="24" fillId="0" borderId="9" xfId="2" applyFont="1" applyBorder="1" applyAlignment="1">
      <alignment horizontal="right" vertical="center" wrapText="1"/>
    </xf>
    <xf numFmtId="0" fontId="24" fillId="0" borderId="0" xfId="2" applyFont="1">
      <alignment horizontal="left" wrapText="1"/>
    </xf>
    <xf numFmtId="0" fontId="24" fillId="0" borderId="9" xfId="2" applyFont="1" applyBorder="1">
      <alignment horizontal="left" wrapText="1"/>
    </xf>
    <xf numFmtId="0" fontId="24" fillId="0" borderId="9" xfId="2" applyFont="1" applyBorder="1" applyAlignment="1">
      <alignment horizontal="center" wrapText="1"/>
    </xf>
    <xf numFmtId="174" fontId="29" fillId="2" borderId="5" xfId="2" applyNumberFormat="1" applyFont="1" applyFill="1" applyBorder="1" applyAlignment="1">
      <alignment horizontal="right" vertical="center" wrapText="1"/>
    </xf>
    <xf numFmtId="175" fontId="24" fillId="0" borderId="5" xfId="2" applyNumberFormat="1" applyFont="1" applyBorder="1" applyAlignment="1">
      <alignment vertical="center" wrapText="1"/>
    </xf>
    <xf numFmtId="175" fontId="29" fillId="2" borderId="5" xfId="2" applyNumberFormat="1" applyFont="1" applyFill="1" applyBorder="1" applyAlignment="1">
      <alignment vertical="center" wrapText="1"/>
    </xf>
    <xf numFmtId="0" fontId="49" fillId="0" borderId="5" xfId="2" applyFont="1" applyBorder="1" applyAlignment="1">
      <alignment horizontal="left" vertical="center" wrapText="1"/>
    </xf>
    <xf numFmtId="176" fontId="29" fillId="2" borderId="5" xfId="2" applyNumberFormat="1" applyFont="1" applyFill="1" applyBorder="1" applyAlignment="1">
      <alignment horizontal="right" vertical="center" wrapText="1"/>
    </xf>
    <xf numFmtId="0" fontId="31" fillId="0" borderId="5" xfId="2" applyFont="1" applyBorder="1" applyAlignment="1">
      <alignment horizontal="left" vertical="center" wrapText="1"/>
    </xf>
    <xf numFmtId="0" fontId="27" fillId="0" borderId="0" xfId="2" applyFont="1" applyBorder="1" applyAlignment="1">
      <alignment horizontal="right" wrapText="1"/>
    </xf>
    <xf numFmtId="0" fontId="24" fillId="0" borderId="0" xfId="2" applyFont="1" applyBorder="1" applyAlignment="1">
      <alignment horizontal="right"/>
    </xf>
    <xf numFmtId="0" fontId="32" fillId="0" borderId="26" xfId="2" applyFont="1" applyBorder="1" applyAlignment="1">
      <alignment horizontal="right" wrapText="1"/>
    </xf>
    <xf numFmtId="0" fontId="32" fillId="0" borderId="34" xfId="2" applyFont="1" applyBorder="1" applyAlignment="1">
      <alignment horizontal="right" wrapText="1"/>
    </xf>
    <xf numFmtId="0" fontId="24" fillId="0" borderId="0" xfId="2" applyFont="1" applyBorder="1" applyAlignment="1">
      <alignment horizontal="right" wrapText="1"/>
    </xf>
    <xf numFmtId="0" fontId="23" fillId="0" borderId="22" xfId="2" applyFont="1" applyBorder="1" applyAlignment="1">
      <alignment horizontal="left" vertical="center" wrapText="1"/>
    </xf>
    <xf numFmtId="0" fontId="23" fillId="0" borderId="21" xfId="2" applyFont="1" applyBorder="1" applyAlignment="1">
      <alignment horizontal="left" vertical="center" wrapText="1"/>
    </xf>
    <xf numFmtId="0" fontId="24" fillId="0" borderId="5" xfId="2" applyFont="1" applyBorder="1" applyAlignment="1">
      <alignment horizontal="center" wrapText="1"/>
    </xf>
    <xf numFmtId="0" fontId="24" fillId="0" borderId="9" xfId="2" applyFont="1" applyBorder="1" applyAlignment="1">
      <alignment horizontal="right" wrapText="1"/>
    </xf>
    <xf numFmtId="0" fontId="24" fillId="0" borderId="5" xfId="2" applyFont="1" applyBorder="1">
      <alignment horizontal="left" wrapText="1"/>
    </xf>
    <xf numFmtId="0" fontId="53" fillId="0" borderId="0" xfId="14" applyFont="1">
      <alignment horizontal="left" wrapText="1"/>
    </xf>
    <xf numFmtId="0" fontId="52" fillId="0" borderId="0" xfId="0" applyFont="1"/>
    <xf numFmtId="0" fontId="25" fillId="0" borderId="9" xfId="2" applyFont="1" applyBorder="1">
      <alignment horizontal="left" wrapText="1"/>
    </xf>
    <xf numFmtId="0" fontId="25" fillId="0" borderId="3" xfId="2" applyFont="1" applyBorder="1">
      <alignment horizontal="left" wrapText="1"/>
    </xf>
    <xf numFmtId="0" fontId="49" fillId="0" borderId="0" xfId="2" applyFont="1">
      <alignment horizontal="left" wrapText="1"/>
    </xf>
    <xf numFmtId="0" fontId="25" fillId="0" borderId="0" xfId="2" applyFont="1">
      <alignment horizontal="left" wrapText="1"/>
    </xf>
    <xf numFmtId="0" fontId="24" fillId="0" borderId="5" xfId="2" applyFont="1" applyBorder="1" applyAlignment="1">
      <alignment horizontal="left" vertical="top" wrapText="1"/>
    </xf>
    <xf numFmtId="0" fontId="24" fillId="0" borderId="0" xfId="2" applyFont="1" applyAlignment="1">
      <alignment horizontal="left" vertical="top" wrapText="1"/>
    </xf>
    <xf numFmtId="0" fontId="24" fillId="0" borderId="20" xfId="2" applyFont="1" applyBorder="1" applyAlignment="1">
      <alignment horizontal="left" vertical="top" wrapText="1"/>
    </xf>
    <xf numFmtId="0" fontId="25" fillId="0" borderId="4" xfId="2" applyFont="1" applyBorder="1">
      <alignment horizontal="left" wrapText="1"/>
    </xf>
    <xf numFmtId="0" fontId="25" fillId="0" borderId="26" xfId="2" applyFont="1" applyBorder="1">
      <alignment horizontal="left" wrapText="1"/>
    </xf>
    <xf numFmtId="0" fontId="51" fillId="0" borderId="26" xfId="2" applyFont="1" applyBorder="1">
      <alignment horizontal="left" wrapText="1"/>
    </xf>
    <xf numFmtId="0" fontId="51" fillId="0" borderId="4" xfId="2" applyFont="1" applyBorder="1">
      <alignment horizontal="left" wrapText="1"/>
    </xf>
    <xf numFmtId="0" fontId="27" fillId="0" borderId="13" xfId="2" applyFont="1" applyBorder="1" applyAlignment="1">
      <alignment horizontal="left" vertical="top" wrapText="1"/>
    </xf>
    <xf numFmtId="0" fontId="27" fillId="0" borderId="0" xfId="2" applyFont="1" applyBorder="1" applyAlignment="1">
      <alignment horizontal="left" vertical="top" wrapText="1"/>
    </xf>
    <xf numFmtId="0" fontId="27" fillId="0" borderId="9" xfId="2" applyFont="1" applyBorder="1" applyAlignment="1">
      <alignment horizontal="left" vertical="top" wrapText="1"/>
    </xf>
    <xf numFmtId="0" fontId="29" fillId="0" borderId="13" xfId="2" applyFont="1" applyBorder="1" applyAlignment="1">
      <alignment horizontal="left" vertical="top" wrapText="1"/>
    </xf>
    <xf numFmtId="0" fontId="29" fillId="0" borderId="0" xfId="2" applyFont="1" applyBorder="1" applyAlignment="1">
      <alignment horizontal="left" vertical="top" wrapText="1"/>
    </xf>
    <xf numFmtId="0" fontId="29" fillId="0" borderId="9" xfId="2" applyFont="1" applyBorder="1" applyAlignment="1">
      <alignment horizontal="left" vertical="top" wrapText="1"/>
    </xf>
    <xf numFmtId="0" fontId="29" fillId="0" borderId="5" xfId="2" applyFont="1" applyBorder="1" applyAlignment="1">
      <alignment horizontal="left" vertical="top" wrapText="1"/>
    </xf>
    <xf numFmtId="0" fontId="29" fillId="0" borderId="20" xfId="2" applyFont="1" applyBorder="1" applyAlignment="1">
      <alignment horizontal="left" vertical="top" wrapText="1"/>
    </xf>
    <xf numFmtId="0" fontId="30" fillId="0" borderId="5" xfId="2" applyFont="1" applyBorder="1">
      <alignment horizontal="left" wrapText="1"/>
    </xf>
    <xf numFmtId="0" fontId="25" fillId="0" borderId="0" xfId="2" applyFont="1" applyAlignment="1">
      <alignment horizontal="center" wrapText="1"/>
    </xf>
    <xf numFmtId="0" fontId="21" fillId="0" borderId="9" xfId="2" applyFont="1" applyBorder="1" applyAlignment="1">
      <alignment horizontal="center" wrapText="1"/>
    </xf>
    <xf numFmtId="0" fontId="49" fillId="0" borderId="5" xfId="2" applyFont="1" applyBorder="1" applyAlignment="1">
      <alignment horizontal="left" vertical="top" wrapText="1"/>
    </xf>
    <xf numFmtId="0" fontId="21" fillId="0" borderId="9" xfId="2" applyFont="1" applyBorder="1">
      <alignment horizontal="left" wrapText="1"/>
    </xf>
    <xf numFmtId="0" fontId="49" fillId="0" borderId="0" xfId="1" applyFont="1">
      <alignment horizontal="left" wrapText="1"/>
    </xf>
    <xf numFmtId="0" fontId="30" fillId="0" borderId="0" xfId="1" applyFont="1">
      <alignment horizontal="left" wrapText="1"/>
    </xf>
    <xf numFmtId="0" fontId="49" fillId="0" borderId="0" xfId="13" applyFont="1">
      <alignment horizontal="left" wrapText="1"/>
    </xf>
    <xf numFmtId="0" fontId="24" fillId="0" borderId="26" xfId="2" applyFont="1" applyBorder="1" applyAlignment="1">
      <alignment horizontal="center" wrapText="1"/>
    </xf>
    <xf numFmtId="0" fontId="49" fillId="0" borderId="0" xfId="2" applyFont="1" applyBorder="1">
      <alignment horizontal="left" wrapText="1"/>
    </xf>
    <xf numFmtId="0" fontId="24" fillId="0" borderId="32" xfId="2" applyFont="1" applyBorder="1">
      <alignment horizontal="left" wrapText="1"/>
    </xf>
  </cellXfs>
  <cellStyles count="26">
    <cellStyle name="Body" xfId="12" xr:uid="{00000000-0005-0000-0000-000018000000}"/>
    <cellStyle name="Box_Body" xfId="20" xr:uid="{00000000-0005-0000-0000-000028000000}"/>
    <cellStyle name="Chart_Text" xfId="5" xr:uid="{00000000-0005-0000-0000-000005000000}"/>
    <cellStyle name="Col_Head" xfId="10" xr:uid="{00000000-0005-0000-0000-00000E000000}"/>
    <cellStyle name="Footer" xfId="6" xr:uid="{00000000-0005-0000-0000-000006000000}"/>
    <cellStyle name="Footnote" xfId="23" xr:uid="{00000000-0005-0000-0000-00002C000000}"/>
    <cellStyle name="H_0" xfId="15" xr:uid="{00000000-0005-0000-0000-00001F000000}"/>
    <cellStyle name="H_1" xfId="24" xr:uid="{00000000-0005-0000-0000-00002D000000}"/>
    <cellStyle name="H_2" xfId="25" xr:uid="{00000000-0005-0000-0000-00002F000000}"/>
    <cellStyle name="H_2Copy" xfId="21" xr:uid="{00000000-0005-0000-0000-00002A000000}"/>
    <cellStyle name="H_3" xfId="3" xr:uid="{00000000-0005-0000-0000-000003000000}"/>
    <cellStyle name="H_3_Notes" xfId="19" xr:uid="{00000000-0005-0000-0000-000026000000}"/>
    <cellStyle name="H_4" xfId="4" xr:uid="{00000000-0005-0000-0000-000004000000}"/>
    <cellStyle name="H_5" xfId="17" xr:uid="{00000000-0005-0000-0000-000024000000}"/>
    <cellStyle name="H_6" xfId="18" xr:uid="{00000000-0005-0000-0000-000025000000}"/>
    <cellStyle name="Header" xfId="16" xr:uid="{00000000-0005-0000-0000-000023000000}"/>
    <cellStyle name="Header_bold" xfId="13" xr:uid="{00000000-0005-0000-0000-00001C000000}"/>
    <cellStyle name="Intro" xfId="22" xr:uid="{00000000-0005-0000-0000-00002B000000}"/>
    <cellStyle name="Link" xfId="14" xr:uid="{00000000-0005-0000-0000-00001E000000}"/>
    <cellStyle name="Normal" xfId="2" xr:uid="{00000000-0005-0000-0000-000000000000}"/>
    <cellStyle name="PageNumber" xfId="7" xr:uid="{00000000-0005-0000-0000-000007000000}"/>
    <cellStyle name="Quote" xfId="8" xr:uid="{00000000-0005-0000-0000-000008000000}"/>
    <cellStyle name="Standard" xfId="0" builtinId="0"/>
    <cellStyle name="Tab_Fig" xfId="11" xr:uid="{00000000-0005-0000-0000-000011000000}"/>
    <cellStyle name="Table Normal" xfId="1" xr:uid="{00000000-0005-0000-0000-000001000000}"/>
    <cellStyle name="TOC_Body" xfId="9" xr:uid="{00000000-0005-0000-0000-000009000000}"/>
  </cellStyles>
  <dxfs count="0"/>
  <tableStyles count="0"/>
  <colors>
    <mruColors>
      <color rgb="FFD9EAF2"/>
      <color rgb="FF0076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7"/>
  <sheetViews>
    <sheetView tabSelected="1" showRuler="0" zoomScaleNormal="100" workbookViewId="0"/>
  </sheetViews>
  <sheetFormatPr baseColWidth="10" defaultColWidth="12.83203125" defaultRowHeight="13"/>
  <cols>
    <col min="1" max="1" width="105" customWidth="1"/>
    <col min="2" max="2" width="13.6640625" customWidth="1"/>
    <col min="3" max="3" width="86.33203125" style="201" bestFit="1" customWidth="1"/>
    <col min="4" max="9" width="92.33203125" customWidth="1"/>
  </cols>
  <sheetData>
    <row r="1" spans="1:14" ht="17">
      <c r="A1" s="2" t="s">
        <v>0</v>
      </c>
    </row>
    <row r="2" spans="1:14">
      <c r="A2" s="201"/>
    </row>
    <row r="3" spans="1:14" ht="14">
      <c r="A3" s="314" t="str">
        <f>HYPERLINK("#'Tab.01'!A3","Individualisierte Offenlegung der Sitzungsteilnahme")</f>
        <v>Individualisierte Offenlegung der Sitzungsteilnahme</v>
      </c>
      <c r="B3" s="1"/>
    </row>
    <row r="4" spans="1:14" ht="14">
      <c r="A4" s="314" t="str">
        <f>HYPERLINK("#'Tab.02'!A3","Kompetenzprofil für das Gesamtgremium")</f>
        <v>Kompetenzprofil für das Gesamtgremium</v>
      </c>
      <c r="B4" s="1"/>
    </row>
    <row r="5" spans="1:14" ht="14">
      <c r="A5" s="314" t="str">
        <f>HYPERLINK("#'Tab.03'!A3","Stand der Umsetzung des Kompetenzprofils")</f>
        <v>Stand der Umsetzung des Kompetenzprofils</v>
      </c>
      <c r="B5" s="1"/>
      <c r="D5" s="1"/>
      <c r="E5" s="1"/>
      <c r="F5" s="1"/>
      <c r="G5" s="1"/>
      <c r="H5" s="1"/>
      <c r="I5" s="1"/>
      <c r="J5" s="1"/>
      <c r="K5" s="1"/>
      <c r="L5" s="1"/>
      <c r="M5" s="1"/>
      <c r="N5" s="1"/>
    </row>
    <row r="6" spans="1:14" ht="14">
      <c r="A6" s="314" t="str">
        <f>HYPERLINK("#'Tab.04'!A3","Grundzüge des Vergütungssystems 2023")</f>
        <v>Grundzüge des Vergütungssystems 2023</v>
      </c>
      <c r="B6" s="1"/>
    </row>
    <row r="7" spans="1:14" ht="14">
      <c r="A7" s="314" t="str">
        <f>HYPERLINK("#'Tab.05'!A3","Jahresbonus 2024/25 – Zielerreichung operatives Ergebnis vor Steuern (EBT)")</f>
        <v>Jahresbonus 2024/25 – Zielerreichung operatives Ergebnis vor Steuern (EBT)</v>
      </c>
      <c r="B7" s="1"/>
      <c r="D7" s="1"/>
      <c r="E7" s="1"/>
    </row>
    <row r="8" spans="1:14" ht="14">
      <c r="A8" s="314" t="str">
        <f>HYPERLINK("#'Tab.06'!A3","Jahresbonus 2024/25 – Zielerreichung individuelle Leistungen")</f>
        <v>Jahresbonus 2024/25 – Zielerreichung individuelle Leistungen</v>
      </c>
      <c r="B8" s="1"/>
      <c r="D8" s="1"/>
    </row>
    <row r="9" spans="1:14" ht="14">
      <c r="A9" s="314" t="str">
        <f>HYPERLINK("#'Tab.07'!A3","Jahresbonus 2024/25 – Zielerreichung ESG-Ziele")</f>
        <v>Jahresbonus 2024/25 – Zielerreichung ESG-Ziele</v>
      </c>
      <c r="B9" s="1"/>
      <c r="D9" s="1"/>
    </row>
    <row r="10" spans="1:14" ht="14">
      <c r="A10" s="314" t="str">
        <f>HYPERLINK("#'Tab.08'!A3","Jahresbonus 2024/25 – Gesamtzielerreichung und Auszahlung")</f>
        <v>Jahresbonus 2024/25 – Gesamtzielerreichung und Auszahlung</v>
      </c>
      <c r="B10" s="1"/>
      <c r="D10" s="1"/>
      <c r="E10" s="1"/>
      <c r="F10" s="1"/>
      <c r="G10" s="1"/>
      <c r="H10" s="1"/>
      <c r="I10" s="1"/>
      <c r="J10" s="1"/>
    </row>
    <row r="11" spans="1:14" ht="14">
      <c r="A11" s="314" t="str">
        <f>HYPERLINK("#'Tab.09'!A3","Performance Share Plan 2024/25 – Zuteilung")</f>
        <v>Performance Share Plan 2024/25 – Zuteilung</v>
      </c>
      <c r="B11" s="1"/>
      <c r="D11" s="1"/>
    </row>
    <row r="12" spans="1:14" ht="14">
      <c r="A12" s="314" t="str">
        <f>HYPERLINK("#'Tab.10'!A3","Aktien-Deferral 2021/22")</f>
        <v>Aktien-Deferral 2021/22</v>
      </c>
      <c r="B12" s="1"/>
      <c r="D12" s="1"/>
      <c r="E12" s="1"/>
      <c r="F12" s="1"/>
    </row>
    <row r="13" spans="1:14" ht="14">
      <c r="A13" s="314" t="str">
        <f>HYPERLINK("#'Tab.11'!A3","Performance Cash Plan 2021/22 – Zielerreichung operativer ROCE")</f>
        <v>Performance Cash Plan 2021/22 – Zielerreichung operativer ROCE</v>
      </c>
      <c r="B13" s="1"/>
      <c r="D13" s="1"/>
      <c r="E13" s="1"/>
    </row>
    <row r="14" spans="1:14" ht="14">
      <c r="A14" s="314" t="str">
        <f>HYPERLINK("#'Tab.12'!A3","Performance Cash Plan 2021/22 – Auszahlung")</f>
        <v>Performance Cash Plan 2021/22 – Auszahlung</v>
      </c>
      <c r="B14" s="1"/>
      <c r="D14" s="1"/>
    </row>
    <row r="15" spans="1:14" ht="14">
      <c r="A15" s="314" t="str">
        <f>HYPERLINK("#'Tab.13'!A3","Zielvergütung des Geschäftsjahres 2024/25 1")</f>
        <v>Zielvergütung des Geschäftsjahres 2024/25 1</v>
      </c>
      <c r="B15" s="1"/>
      <c r="D15" s="1"/>
      <c r="E15" s="1"/>
      <c r="F15" s="1"/>
      <c r="G15" s="1"/>
      <c r="H15" s="1"/>
      <c r="I15" s="1"/>
      <c r="J15" s="1"/>
      <c r="K15" s="1"/>
      <c r="L15" s="1"/>
      <c r="M15" s="1"/>
    </row>
    <row r="16" spans="1:14" ht="14" customHeight="1">
      <c r="A16" s="314" t="str">
        <f>HYPERLINK("#'Tab.14'!A3","Im Geschäftsjahr 2024/25 gewährte und geschuldete Vergütung der aktiven Vorstandsmitglieder gemäß § 162 AktG1")</f>
        <v>Im Geschäftsjahr 2024/25 gewährte und geschuldete Vergütung der aktiven Vorstandsmitglieder gemäß § 162 AktG1</v>
      </c>
      <c r="B16" s="1"/>
      <c r="D16" s="1"/>
      <c r="E16" s="1"/>
      <c r="F16" s="1"/>
      <c r="G16" s="1"/>
      <c r="H16" s="1"/>
      <c r="I16" s="1"/>
      <c r="J16" s="1"/>
    </row>
    <row r="17" spans="1:9" ht="14" customHeight="1">
      <c r="A17" s="314" t="str">
        <f>HYPERLINK("#'Tab.15'!A3","Im Geschäftsjahr 2024/25 gewährte und geschuldete Vergütung ehemaliger Vorstandsmitglieder gemäß § 162 AktG ")</f>
        <v xml:space="preserve">Im Geschäftsjahr 2024/25 gewährte und geschuldete Vergütung ehemaliger Vorstandsmitglieder gemäß § 162 AktG </v>
      </c>
      <c r="B17" s="1"/>
    </row>
    <row r="18" spans="1:9" ht="14">
      <c r="A18" s="314" t="str">
        <f>HYPERLINK("#'Tab.16'!A3","Im Geschäftsjahr 2024/25 gewährte und geschuldete Vergütung des Aufsichtsrats gemäß § 162 AktG1")</f>
        <v>Im Geschäftsjahr 2024/25 gewährte und geschuldete Vergütung des Aufsichtsrats gemäß § 162 AktG1</v>
      </c>
      <c r="B18" s="1"/>
      <c r="D18" s="1"/>
      <c r="E18" s="1"/>
      <c r="F18" s="1"/>
      <c r="G18" s="1"/>
      <c r="H18" s="1"/>
      <c r="I18" s="1"/>
    </row>
    <row r="19" spans="1:9" ht="14">
      <c r="A19" s="314" t="str">
        <f>HYPERLINK("#'Tab.17'!A3","Im Geschäftsjahr 2023/24 gewährte und geschuldete Vergütung des Aufsichtsrats gemäß § 162 AktG1")</f>
        <v>Im Geschäftsjahr 2023/24 gewährte und geschuldete Vergütung des Aufsichtsrats gemäß § 162 AktG1</v>
      </c>
      <c r="B19" s="1"/>
      <c r="D19" s="1"/>
      <c r="E19" s="1"/>
      <c r="F19" s="1"/>
      <c r="G19" s="1"/>
      <c r="H19" s="1"/>
      <c r="I19" s="1"/>
    </row>
    <row r="20" spans="1:9" ht="14">
      <c r="A20" s="314" t="str">
        <f>HYPERLINK("#'Tab.18'!A3","Vergleichende Darstellung")</f>
        <v>Vergleichende Darstellung</v>
      </c>
      <c r="B20" s="1"/>
      <c r="D20" s="1"/>
      <c r="E20" s="1"/>
    </row>
    <row r="21" spans="1:9" ht="14">
      <c r="A21" s="314" t="str">
        <f>HYPERLINK("#'Tab.19'!A3","Kennzahlen zur Aurubis-Aktie")</f>
        <v>Kennzahlen zur Aurubis-Aktie</v>
      </c>
      <c r="B21" s="1"/>
      <c r="D21" s="1"/>
      <c r="E21" s="1"/>
      <c r="F21" s="1"/>
      <c r="G21" s="1"/>
    </row>
    <row r="22" spans="1:9" ht="14">
      <c r="A22" s="314" t="str">
        <f>HYPERLINK("#'Tab.20'!A3","Informationen zur Aktie")</f>
        <v>Informationen zur Aktie</v>
      </c>
      <c r="B22" s="1"/>
    </row>
    <row r="23" spans="1:9" ht="14">
      <c r="A23" s="314" t="str">
        <f>HYPERLINK("#'Tab.21'!A3","Analysten-Coverage 2024/25")</f>
        <v>Analysten-Coverage 2024/25</v>
      </c>
      <c r="B23" s="1"/>
    </row>
    <row r="24" spans="1:9" ht="14">
      <c r="A24" s="314" t="str">
        <f>HYPERLINK("#'Tab.22'!A3","Standorte und Mitarbeiter ")</f>
        <v xml:space="preserve">Standorte und Mitarbeiter </v>
      </c>
      <c r="B24" s="1"/>
      <c r="D24" s="1"/>
      <c r="E24" s="1"/>
    </row>
    <row r="25" spans="1:9" ht="14">
      <c r="A25" s="314" t="str">
        <f>HYPERLINK("#'Tab.23'!A3","Rendite auf das eingesetzte Kapital (ROCE) operativ")</f>
        <v>Rendite auf das eingesetzte Kapital (ROCE) operativ</v>
      </c>
      <c r="B25" s="1"/>
    </row>
    <row r="26" spans="1:9" ht="14">
      <c r="A26" s="314" t="str">
        <f>HYPERLINK("#'Tab.24'!A3","Arbeitssicherheitskennzahlen für Aurubis-Mitarbeiter, Zeitarbeiter und Mitarbeiter von Fremdfirmen")</f>
        <v>Arbeitssicherheitskennzahlen für Aurubis-Mitarbeiter, Zeitarbeiter und Mitarbeiter von Fremdfirmen</v>
      </c>
      <c r="B26" s="1"/>
      <c r="D26" s="1"/>
      <c r="E26" s="1"/>
    </row>
    <row r="27" spans="1:9" ht="14">
      <c r="A27" s="314" t="str">
        <f>HYPERLINK("#'Tab.25'!A3","Überleitung der Konzern-Gewinn- und Verlustrechnung")</f>
        <v>Überleitung der Konzern-Gewinn- und Verlustrechnung</v>
      </c>
      <c r="B27" s="1"/>
      <c r="D27" s="1"/>
      <c r="E27" s="1"/>
      <c r="F27" s="1"/>
      <c r="G27" s="1"/>
    </row>
    <row r="28" spans="1:9" ht="14">
      <c r="A28" s="314" t="str">
        <f>HYPERLINK("#'Tab.26'!A3","Umsatzerlöse nach Absatzmärkten")</f>
        <v>Umsatzerlöse nach Absatzmärkten</v>
      </c>
      <c r="B28" s="1"/>
    </row>
    <row r="29" spans="1:9" ht="14">
      <c r="A29" s="314" t="str">
        <f>HYPERLINK("#'Tab.27'!A3","Zusammensetzung der Finanzverbindlichkeiten")</f>
        <v>Zusammensetzung der Finanzverbindlichkeiten</v>
      </c>
      <c r="B29" s="1"/>
    </row>
    <row r="30" spans="1:9" ht="14">
      <c r="A30" s="314" t="str">
        <f>HYPERLINK("#'Tab.28'!A3","IFRS-Bilanzstruktur des Konzerns")</f>
        <v>IFRS-Bilanzstruktur des Konzerns</v>
      </c>
      <c r="B30" s="1"/>
    </row>
    <row r="31" spans="1:9" ht="14">
      <c r="A31" s="314" t="str">
        <f>HYPERLINK("#'Tab.29'!A3","Überleitung der Konzernbilanz")</f>
        <v>Überleitung der Konzernbilanz</v>
      </c>
      <c r="B31" s="1"/>
      <c r="D31" s="1"/>
      <c r="E31" s="1"/>
      <c r="F31" s="1"/>
      <c r="G31" s="1"/>
    </row>
    <row r="32" spans="1:9" ht="14">
      <c r="A32" s="314" t="str">
        <f>HYPERLINK("#'Tab.30'!A3","Rendite auf das eingesetzte Kapital (ROCE) (operativ)")</f>
        <v>Rendite auf das eingesetzte Kapital (ROCE) (operativ)</v>
      </c>
      <c r="B32" s="1"/>
    </row>
    <row r="33" spans="1:7" ht="14">
      <c r="A33" s="314" t="str">
        <f>HYPERLINK("#'Tab.31'!A3","Finanzkennzahlen des Konzerns (operativ)")</f>
        <v>Finanzkennzahlen des Konzerns (operativ)</v>
      </c>
      <c r="B33" s="1"/>
    </row>
    <row r="34" spans="1:7" ht="14">
      <c r="A34" s="314" t="str">
        <f>HYPERLINK("#'Tab.32'!A3","Kapitalflussrechnung im Konzern")</f>
        <v>Kapitalflussrechnung im Konzern</v>
      </c>
      <c r="B34" s="1"/>
    </row>
    <row r="35" spans="1:7" ht="14">
      <c r="A35" s="314" t="str">
        <f>HYPERLINK("#'Tab.33'!A3","Netto-Finanzposition im Konzern")</f>
        <v>Netto-Finanzposition im Konzern</v>
      </c>
      <c r="B35" s="1"/>
    </row>
    <row r="36" spans="1:7" ht="14">
      <c r="A36" s="314" t="str">
        <f>HYPERLINK("#'Tab.34'!A3","Kennzahlen Segment Multimetal Recycling")</f>
        <v>Kennzahlen Segment Multimetal Recycling</v>
      </c>
      <c r="B36" s="1"/>
    </row>
    <row r="37" spans="1:7" ht="14">
      <c r="A37" s="314" t="str">
        <f>HYPERLINK("#'Tab.35'!A3","Kennzahlen Segment Custom Smelting &amp; Products")</f>
        <v>Kennzahlen Segment Custom Smelting &amp; Products</v>
      </c>
      <c r="B37" s="1"/>
    </row>
    <row r="38" spans="1:7" ht="14">
      <c r="A38" s="314" t="str">
        <f>HYPERLINK("#'Tab.36'!A3","Verkaufsmengen anderer Metalle")</f>
        <v>Verkaufsmengen anderer Metalle</v>
      </c>
      <c r="B38" s="1"/>
      <c r="D38" s="1"/>
    </row>
    <row r="39" spans="1:7" ht="14">
      <c r="A39" s="314" t="str">
        <f>HYPERLINK("#'Tab.37'!A3","Gewinn- und Verlustrechnung")</f>
        <v>Gewinn- und Verlustrechnung</v>
      </c>
      <c r="B39" s="1"/>
    </row>
    <row r="40" spans="1:7" ht="14">
      <c r="A40" s="314" t="str">
        <f>HYPERLINK("#'Tab.38'!A3","Bilanzstruktur der Aurubis AG")</f>
        <v>Bilanzstruktur der Aurubis AG</v>
      </c>
      <c r="B40" s="1"/>
    </row>
    <row r="41" spans="1:7" ht="14">
      <c r="A41" s="314" t="str">
        <f>HYPERLINK("#'Tab.39'!A3","Potenzieller Ergebniseffekt")</f>
        <v>Potenzieller Ergebniseffekt</v>
      </c>
      <c r="B41" s="1"/>
      <c r="D41" s="1"/>
      <c r="E41" s="1"/>
    </row>
    <row r="42" spans="1:7" ht="14">
      <c r="A42" s="314" t="str">
        <f>HYPERLINK("#'Tab.40'!A3","Übersicht Leistungskennzahlen gemäß EU-Taxonomie")</f>
        <v>Übersicht Leistungskennzahlen gemäß EU-Taxonomie</v>
      </c>
      <c r="B42" s="1"/>
      <c r="D42" s="1"/>
      <c r="E42" s="1"/>
      <c r="F42" s="1"/>
      <c r="G42" s="1"/>
    </row>
    <row r="43" spans="1:7" ht="14">
      <c r="A43" s="314" t="str">
        <f>HYPERLINK("#'Tab.41'!A3","Energieverbrauch und -mix")</f>
        <v>Energieverbrauch und -mix</v>
      </c>
      <c r="B43" s="1"/>
    </row>
    <row r="44" spans="1:7" ht="14">
      <c r="A44" s="314" t="str">
        <f>HYPERLINK("#'Tab.42'!A3","Energieintensität pro Nettoerlös1")</f>
        <v>Energieintensität pro Nettoerlös1</v>
      </c>
      <c r="B44" s="1"/>
    </row>
    <row r="45" spans="1:7" ht="14">
      <c r="A45" s="314" t="str">
        <f>HYPERLINK("#'Tab.43'!A3","Erzeugung erneuerbarer und nicht erneuerbarer Energie")</f>
        <v>Erzeugung erneuerbarer und nicht erneuerbarer Energie</v>
      </c>
      <c r="B45" s="1"/>
    </row>
    <row r="46" spans="1:7" ht="14">
      <c r="A46" s="314" t="str">
        <f>HYPERLINK("#'Tab.44'!A3","THG-Gesamtemissionen nach Scope-1-, Scope-2- und signifikanten Scope-3-Emissionen (gemäß E1-6 AR 48)")</f>
        <v>THG-Gesamtemissionen nach Scope-1-, Scope-2- und signifikanten Scope-3-Emissionen (gemäß E1-6 AR 48)</v>
      </c>
      <c r="B46" s="1"/>
      <c r="D46" s="1"/>
      <c r="E46" s="1"/>
      <c r="F46" s="1"/>
      <c r="G46" s="1"/>
    </row>
    <row r="47" spans="1:7" ht="14">
      <c r="A47" s="314" t="str">
        <f>HYPERLINK("#'Tab.45'!A3","Ausstoß von Luftschadstoffen ")</f>
        <v xml:space="preserve">Ausstoß von Luftschadstoffen </v>
      </c>
      <c r="B47" s="1"/>
      <c r="D47" s="1"/>
    </row>
    <row r="48" spans="1:7" ht="14">
      <c r="A48" s="314" t="str">
        <f>HYPERLINK("#'Tab.46'!A3","Zuordnung der Ressourcenzuflüsse1")</f>
        <v>Zuordnung der Ressourcenzuflüsse1</v>
      </c>
      <c r="B48" s="1"/>
      <c r="D48" s="1"/>
    </row>
    <row r="49" spans="1:11" ht="14">
      <c r="A49" s="314" t="str">
        <f>HYPERLINK("#'Tab.47'!A3","Recyclinganteil von Produkten (%)")</f>
        <v>Recyclinganteil von Produkten (%)</v>
      </c>
      <c r="B49" s="1"/>
      <c r="D49" s="1"/>
    </row>
    <row r="50" spans="1:11" ht="14">
      <c r="A50" s="314" t="str">
        <f>HYPERLINK("#'Tab.48'!A3","Merkmale der Arbeitnehmer des Unternehmens")</f>
        <v>Merkmale der Arbeitnehmer des Unternehmens</v>
      </c>
      <c r="B50" s="1"/>
      <c r="D50" s="1"/>
    </row>
    <row r="51" spans="1:11" ht="14">
      <c r="A51" s="314" t="str">
        <f>HYPERLINK("#'Tab.49'!A3","Zahl der Arbeitnehmer nach Geschlecht")</f>
        <v>Zahl der Arbeitnehmer nach Geschlecht</v>
      </c>
      <c r="B51" s="1"/>
      <c r="D51" s="1"/>
    </row>
    <row r="52" spans="1:11" ht="14">
      <c r="A52" s="314" t="str">
        <f>HYPERLINK("#'Tab.50'!A3","Zahl der Arbeitnehmer pro Vertragsart1 und aufgeschlüsselt nach Geschlecht2")</f>
        <v>Zahl der Arbeitnehmer pro Vertragsart1 und aufgeschlüsselt nach Geschlecht2</v>
      </c>
      <c r="B52" s="1"/>
      <c r="D52" s="1"/>
      <c r="E52" s="1"/>
      <c r="F52" s="1"/>
    </row>
    <row r="53" spans="1:11" ht="14">
      <c r="A53" s="314" t="str">
        <f>HYPERLINK("#'Tab.51'!A3","Tarifvertragliche Abdeckung und sozialer Dialog")</f>
        <v>Tarifvertragliche Abdeckung und sozialer Dialog</v>
      </c>
      <c r="B53" s="1"/>
      <c r="D53" s="1"/>
    </row>
    <row r="54" spans="1:11" ht="14">
      <c r="A54" s="314" t="str">
        <f>HYPERLINK("#'Tab.52'!A3","Geschlechterverteilung in der obersten Führungsebene")</f>
        <v>Geschlechterverteilung in der obersten Führungsebene</v>
      </c>
      <c r="B54" s="1"/>
      <c r="D54" s="1"/>
    </row>
    <row r="55" spans="1:11" ht="14">
      <c r="A55" s="314" t="str">
        <f>HYPERLINK("#'Tab.53'!A3","Altersstruktur der Arbeitnehmer")</f>
        <v>Altersstruktur der Arbeitnehmer</v>
      </c>
      <c r="B55" s="1"/>
    </row>
    <row r="56" spans="1:11" ht="14">
      <c r="A56" s="314" t="str">
        <f>HYPERLINK("#'Tab.54'!A3","Trainingsmetriken")</f>
        <v>Trainingsmetriken</v>
      </c>
      <c r="B56" s="1"/>
      <c r="D56" s="1"/>
    </row>
    <row r="57" spans="1:11" ht="14">
      <c r="A57" s="314" t="str">
        <f>HYPERLINK("#'Tab.55'!A3","Kennzahlen für Gesundheitsschutz und Sicherheit")</f>
        <v>Kennzahlen für Gesundheitsschutz und Sicherheit</v>
      </c>
      <c r="B57" s="1"/>
      <c r="D57" s="1"/>
    </row>
    <row r="58" spans="1:11" ht="14">
      <c r="A58" s="314" t="str">
        <f>HYPERLINK("#'Tab.56'!A3","Vorfälle, Beschwerden und schwerwiegende Auswirkungen im Zusammenhang mit Menschenrechten")</f>
        <v>Vorfälle, Beschwerden und schwerwiegende Auswirkungen im Zusammenhang mit Menschenrechten</v>
      </c>
      <c r="B58" s="1"/>
    </row>
    <row r="59" spans="1:11" ht="14">
      <c r="A59" s="314" t="str">
        <f>HYPERLINK("#'Tab.57'!A3","Meldebogen Umsatz")</f>
        <v>Meldebogen Umsatz</v>
      </c>
      <c r="B59" s="1"/>
      <c r="D59" s="1"/>
      <c r="E59" s="1"/>
      <c r="F59" s="1"/>
      <c r="G59" s="1"/>
      <c r="H59" s="1"/>
      <c r="I59" s="1"/>
      <c r="J59" s="1"/>
      <c r="K59" s="1"/>
    </row>
    <row r="60" spans="1:11" ht="14">
      <c r="A60" s="314" t="str">
        <f>HYPERLINK("#'Tab.58'!A3","Umsatzanteil/Gesamtumsatz")</f>
        <v>Umsatzanteil/Gesamtumsatz</v>
      </c>
      <c r="B60" s="1"/>
    </row>
    <row r="61" spans="1:11" ht="14">
      <c r="A61" s="314" t="str">
        <f>HYPERLINK("#'Tab.59'!A3","Meldebogen OpEx")</f>
        <v>Meldebogen OpEx</v>
      </c>
      <c r="B61" s="1"/>
      <c r="D61" s="1"/>
      <c r="E61" s="1"/>
      <c r="F61" s="1"/>
      <c r="G61" s="1"/>
      <c r="H61" s="1"/>
      <c r="I61" s="1"/>
    </row>
    <row r="62" spans="1:11" ht="14">
      <c r="A62" s="314" t="str">
        <f>HYPERLINK("#'Tab.60'!A3","OpEx-Anteil/Gesamt-OpEx")</f>
        <v>OpEx-Anteil/Gesamt-OpEx</v>
      </c>
      <c r="B62" s="1"/>
    </row>
    <row r="63" spans="1:11" ht="14">
      <c r="A63" s="314" t="str">
        <f>HYPERLINK("#'Tab.61'!A3","Meldebogen CapEx")</f>
        <v>Meldebogen CapEx</v>
      </c>
      <c r="B63" s="1"/>
      <c r="D63" s="1"/>
      <c r="E63" s="1"/>
      <c r="F63" s="1"/>
      <c r="G63" s="1"/>
      <c r="H63" s="1"/>
      <c r="I63" s="1"/>
    </row>
    <row r="64" spans="1:11" ht="14">
      <c r="A64" s="314" t="str">
        <f>HYPERLINK("#'Tab.62'!A3","CapEx-Anteil/Gesamt-CapEx")</f>
        <v>CapEx-Anteil/Gesamt-CapEx</v>
      </c>
      <c r="B64" s="1"/>
    </row>
    <row r="65" spans="1:12" ht="14">
      <c r="A65" s="314" t="str">
        <f>HYPERLINK("#'Tab.63'!A3","Taxonomiekonformer Umsatzzähler")</f>
        <v>Taxonomiekonformer Umsatzzähler</v>
      </c>
      <c r="B65" s="1"/>
      <c r="D65" s="1"/>
      <c r="E65" s="1"/>
      <c r="F65" s="1"/>
    </row>
    <row r="66" spans="1:12" ht="14">
      <c r="A66" s="314" t="str">
        <f>HYPERLINK("#'Tab.64'!A3","Taxonomiekonformer OpEx-Zähler")</f>
        <v>Taxonomiekonformer OpEx-Zähler</v>
      </c>
      <c r="B66" s="1"/>
      <c r="D66" s="1"/>
      <c r="E66" s="1"/>
    </row>
    <row r="67" spans="1:12" ht="14">
      <c r="A67" s="314" t="str">
        <f>HYPERLINK("#'Tab.65'!A3","Taxonomiekonformer CapEx-Zähler")</f>
        <v>Taxonomiekonformer CapEx-Zähler</v>
      </c>
      <c r="B67" s="1"/>
      <c r="D67" s="1"/>
      <c r="E67" s="1"/>
      <c r="F67" s="1"/>
    </row>
    <row r="68" spans="1:12" ht="14">
      <c r="A68" s="314" t="str">
        <f>HYPERLINK("#'Tab.66'!A3","Taxonomiefähige Tätigkeiten bei Aurubis | Zuornung zu Umweltziel – Klimaschutz")</f>
        <v>Taxonomiefähige Tätigkeiten bei Aurubis | Zuornung zu Umweltziel – Klimaschutz</v>
      </c>
      <c r="B68" s="1"/>
    </row>
    <row r="69" spans="1:12" ht="14">
      <c r="A69" s="314" t="str">
        <f>HYPERLINK("#'Tab.67'!A3","Tätigkeiten in den Bereichen Kernenergie und fossiles Gas")</f>
        <v>Tätigkeiten in den Bereichen Kernenergie und fossiles Gas</v>
      </c>
      <c r="B69" s="1"/>
    </row>
    <row r="70" spans="1:12" ht="14">
      <c r="A70" s="314" t="str">
        <f>HYPERLINK("#'Tab.68'!A3","Konzern-Gewinn- und Verlustrechnung vom 01.10. bis 30.09. nach IFRS")</f>
        <v>Konzern-Gewinn- und Verlustrechnung vom 01.10. bis 30.09. nach IFRS</v>
      </c>
      <c r="B70" s="1"/>
      <c r="D70" s="1"/>
    </row>
    <row r="71" spans="1:12" ht="14">
      <c r="A71" s="314" t="str">
        <f>HYPERLINK("#'Tab.69'!A3","Konzern-Gesamtergebnisrechnung vom 01.10. bis 30.09. nach IFRS")</f>
        <v>Konzern-Gesamtergebnisrechnung vom 01.10. bis 30.09. nach IFRS</v>
      </c>
      <c r="B71" s="1"/>
    </row>
    <row r="72" spans="1:12" ht="14">
      <c r="A72" s="314" t="str">
        <f>HYPERLINK("#'Tab.70'!A3","Konzernbilanz Aktiva nach IFRS")</f>
        <v>Konzernbilanz Aktiva nach IFRS</v>
      </c>
      <c r="B72" s="1"/>
      <c r="D72" s="1"/>
    </row>
    <row r="73" spans="1:12" ht="14">
      <c r="A73" s="314" t="str">
        <f>HYPERLINK("#'Tab.71'!A3","Konzernbilanz Passiva nach IFRS")</f>
        <v>Konzernbilanz Passiva nach IFRS</v>
      </c>
      <c r="B73" s="1"/>
      <c r="D73" s="1"/>
    </row>
    <row r="74" spans="1:12" ht="14">
      <c r="A74" s="314" t="str">
        <f>HYPERLINK("#'Tab.72'!A3","Konzern-Kapitalflussrechnung vom 01.10. bis 30.09. nach IFRS")</f>
        <v>Konzern-Kapitalflussrechnung vom 01.10. bis 30.09. nach IFRS</v>
      </c>
      <c r="B74" s="1"/>
    </row>
    <row r="75" spans="1:12" ht="14">
      <c r="A75" s="314" t="str">
        <f>HYPERLINK("#'Tab.73'!A3","Konzern-Eigenkapitalveränderungsrechnung")</f>
        <v>Konzern-Eigenkapitalveränderungsrechnung</v>
      </c>
      <c r="B75" s="1"/>
      <c r="D75" s="1"/>
      <c r="E75" s="1"/>
      <c r="F75" s="1"/>
      <c r="G75" s="1"/>
      <c r="H75" s="1"/>
      <c r="I75" s="1"/>
      <c r="J75" s="1"/>
      <c r="K75" s="1"/>
      <c r="L75" s="1"/>
    </row>
    <row r="76" spans="1:12" ht="14">
      <c r="A76" s="314" t="str">
        <f>HYPERLINK("#'Tab.74'!A3","Finanzkalender")</f>
        <v>Finanzkalender</v>
      </c>
      <c r="B76" s="1"/>
    </row>
    <row r="77" spans="1:12" ht="14">
      <c r="A77" s="314" t="str">
        <f>HYPERLINK("#'Tab.75'!A3","5-Jahres-Übersicht vom Aurubis-Konzern (IFRS)")</f>
        <v>5-Jahres-Übersicht vom Aurubis-Konzern (IFRS)</v>
      </c>
      <c r="B77" s="1"/>
      <c r="D77" s="1"/>
      <c r="E77" s="1"/>
      <c r="F77" s="1"/>
      <c r="G77" s="1"/>
    </row>
  </sheetData>
  <phoneticPr fontId="47"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
  <sheetViews>
    <sheetView showRuler="0" workbookViewId="0">
      <selection activeCell="A2" sqref="A2:D2"/>
    </sheetView>
  </sheetViews>
  <sheetFormatPr baseColWidth="10" defaultColWidth="12.83203125" defaultRowHeight="13"/>
  <cols>
    <col min="1" max="1" width="56.5" customWidth="1"/>
    <col min="2" max="4" width="20.1640625" customWidth="1"/>
  </cols>
  <sheetData>
    <row r="1" spans="1:4" ht="14">
      <c r="A1" s="301" t="str">
        <f>HYPERLINK("#'Index'!A1","Back to index")</f>
        <v>Back to index</v>
      </c>
    </row>
    <row r="2" spans="1:4" ht="25.75" customHeight="1">
      <c r="A2" s="315" t="s">
        <v>63</v>
      </c>
      <c r="B2" s="316"/>
      <c r="C2" s="316"/>
      <c r="D2" s="316"/>
    </row>
    <row r="3" spans="1:4" ht="22.5" customHeight="1">
      <c r="A3" s="317" t="s">
        <v>9</v>
      </c>
      <c r="B3" s="316"/>
      <c r="C3" s="316"/>
      <c r="D3" s="316"/>
    </row>
    <row r="4" spans="1:4">
      <c r="A4" s="338"/>
      <c r="B4" s="338"/>
      <c r="C4" s="338"/>
      <c r="D4" s="338"/>
    </row>
    <row r="5" spans="1:4" ht="34">
      <c r="A5" s="15" t="s">
        <v>217</v>
      </c>
      <c r="B5" s="39" t="s">
        <v>230</v>
      </c>
      <c r="C5" s="39" t="s">
        <v>231</v>
      </c>
      <c r="D5" s="39" t="s">
        <v>232</v>
      </c>
    </row>
    <row r="6" spans="1:4" ht="17">
      <c r="A6" s="6" t="s">
        <v>226</v>
      </c>
      <c r="B6" s="65">
        <v>660000</v>
      </c>
      <c r="C6" s="350">
        <v>68.62</v>
      </c>
      <c r="D6" s="66">
        <v>9618.19</v>
      </c>
    </row>
    <row r="7" spans="1:4" ht="17">
      <c r="A7" s="7" t="s">
        <v>227</v>
      </c>
      <c r="B7" s="67">
        <v>525000</v>
      </c>
      <c r="C7" s="340"/>
      <c r="D7" s="206">
        <v>7650.83</v>
      </c>
    </row>
    <row r="8" spans="1:4" ht="17">
      <c r="A8" s="7" t="s">
        <v>228</v>
      </c>
      <c r="B8" s="67">
        <v>525000</v>
      </c>
      <c r="C8" s="340"/>
      <c r="D8" s="206">
        <v>7650.83</v>
      </c>
    </row>
    <row r="9" spans="1:4" ht="17">
      <c r="A9" s="11" t="s">
        <v>229</v>
      </c>
      <c r="B9" s="68">
        <v>444000</v>
      </c>
      <c r="C9" s="341"/>
      <c r="D9" s="69">
        <v>6470.42</v>
      </c>
    </row>
    <row r="10" spans="1:4">
      <c r="A10" s="342"/>
      <c r="B10" s="342"/>
      <c r="C10" s="342"/>
      <c r="D10" s="342"/>
    </row>
  </sheetData>
  <mergeCells count="5">
    <mergeCell ref="A2:D2"/>
    <mergeCell ref="A3:D3"/>
    <mergeCell ref="C6:C9"/>
    <mergeCell ref="A10:D10"/>
    <mergeCell ref="A4:D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
  <sheetViews>
    <sheetView showRuler="0" workbookViewId="0">
      <selection activeCell="A2" sqref="A2:F2"/>
    </sheetView>
  </sheetViews>
  <sheetFormatPr baseColWidth="10" defaultColWidth="12.83203125" defaultRowHeight="13"/>
  <cols>
    <col min="1" max="1" width="41.83203125" customWidth="1"/>
    <col min="2" max="3" width="20.1640625" customWidth="1"/>
    <col min="4" max="4" width="28.6640625" customWidth="1"/>
    <col min="5" max="6" width="20.1640625" customWidth="1"/>
  </cols>
  <sheetData>
    <row r="1" spans="1:6" ht="14">
      <c r="A1" s="301" t="str">
        <f>HYPERLINK("#'Index'!A1","Back to index")</f>
        <v>Back to index</v>
      </c>
    </row>
    <row r="2" spans="1:6" ht="25.75" customHeight="1">
      <c r="A2" s="315" t="s">
        <v>63</v>
      </c>
      <c r="B2" s="316"/>
      <c r="C2" s="316"/>
      <c r="D2" s="316"/>
      <c r="E2" s="316"/>
      <c r="F2" s="316"/>
    </row>
    <row r="3" spans="1:6" ht="22.5" customHeight="1">
      <c r="A3" s="317" t="s">
        <v>10</v>
      </c>
      <c r="B3" s="316"/>
      <c r="C3" s="316"/>
      <c r="D3" s="316"/>
      <c r="E3" s="316"/>
      <c r="F3" s="316"/>
    </row>
    <row r="4" spans="1:6">
      <c r="A4" s="338"/>
      <c r="B4" s="338"/>
      <c r="C4" s="338"/>
      <c r="D4" s="338"/>
      <c r="E4" s="338"/>
      <c r="F4" s="338"/>
    </row>
    <row r="5" spans="1:6" ht="34">
      <c r="A5" s="15" t="s">
        <v>217</v>
      </c>
      <c r="B5" s="38" t="s">
        <v>233</v>
      </c>
      <c r="C5" s="38" t="s">
        <v>231</v>
      </c>
      <c r="D5" s="39" t="s">
        <v>234</v>
      </c>
      <c r="E5" s="39" t="s">
        <v>235</v>
      </c>
      <c r="F5" s="39" t="s">
        <v>236</v>
      </c>
    </row>
    <row r="6" spans="1:6" ht="17">
      <c r="A6" s="32" t="s">
        <v>237</v>
      </c>
      <c r="B6" s="70">
        <v>272800</v>
      </c>
      <c r="C6" s="351">
        <v>59.15</v>
      </c>
      <c r="D6" s="66">
        <v>4612</v>
      </c>
      <c r="E6" s="352">
        <v>98.32</v>
      </c>
      <c r="F6" s="71">
        <v>409200</v>
      </c>
    </row>
    <row r="7" spans="1:6" ht="17">
      <c r="A7" s="212" t="s">
        <v>238</v>
      </c>
      <c r="B7" s="214">
        <v>183520</v>
      </c>
      <c r="C7" s="345"/>
      <c r="D7" s="207">
        <v>3102.62</v>
      </c>
      <c r="E7" s="340"/>
      <c r="F7" s="208">
        <v>275280</v>
      </c>
    </row>
    <row r="8" spans="1:6" ht="17">
      <c r="A8" s="15" t="s">
        <v>239</v>
      </c>
      <c r="B8" s="72">
        <v>183520</v>
      </c>
      <c r="C8" s="346"/>
      <c r="D8" s="73">
        <v>3102.62</v>
      </c>
      <c r="E8" s="341"/>
      <c r="F8" s="74">
        <v>275280</v>
      </c>
    </row>
    <row r="9" spans="1:6" ht="18" customHeight="1">
      <c r="A9" s="353" t="s">
        <v>1051</v>
      </c>
      <c r="B9" s="353"/>
      <c r="C9" s="353"/>
      <c r="D9" s="353"/>
      <c r="E9" s="353"/>
      <c r="F9" s="353"/>
    </row>
  </sheetData>
  <mergeCells count="6">
    <mergeCell ref="A2:F2"/>
    <mergeCell ref="A3:F3"/>
    <mergeCell ref="C6:C8"/>
    <mergeCell ref="E6:E8"/>
    <mergeCell ref="A9:F9"/>
    <mergeCell ref="A4:F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
  <sheetViews>
    <sheetView showRuler="0" workbookViewId="0">
      <selection activeCell="A2" sqref="A2:E2"/>
    </sheetView>
  </sheetViews>
  <sheetFormatPr baseColWidth="10" defaultColWidth="12.83203125" defaultRowHeight="13"/>
  <cols>
    <col min="1" max="1" width="56.5" customWidth="1"/>
    <col min="2" max="5" width="16" customWidth="1"/>
  </cols>
  <sheetData>
    <row r="1" spans="1:5" ht="14">
      <c r="A1" s="301" t="str">
        <f>HYPERLINK("#'Index'!A1","Back to index")</f>
        <v>Back to index</v>
      </c>
    </row>
    <row r="2" spans="1:5" ht="25.75" customHeight="1">
      <c r="A2" s="315" t="s">
        <v>63</v>
      </c>
      <c r="B2" s="316"/>
      <c r="C2" s="316"/>
      <c r="D2" s="316"/>
      <c r="E2" s="316"/>
    </row>
    <row r="3" spans="1:5" ht="22.5" customHeight="1">
      <c r="A3" s="317" t="s">
        <v>11</v>
      </c>
      <c r="B3" s="316"/>
      <c r="C3" s="316"/>
      <c r="D3" s="316"/>
      <c r="E3" s="316"/>
    </row>
    <row r="4" spans="1:5">
      <c r="A4" s="338"/>
      <c r="B4" s="338"/>
      <c r="C4" s="338"/>
      <c r="D4" s="338"/>
      <c r="E4" s="338"/>
    </row>
    <row r="5" spans="1:5" ht="17">
      <c r="A5" s="15" t="s">
        <v>240</v>
      </c>
      <c r="B5" s="38" t="s">
        <v>199</v>
      </c>
      <c r="C5" s="38" t="s">
        <v>200</v>
      </c>
      <c r="D5" s="38" t="s">
        <v>201</v>
      </c>
      <c r="E5" s="39" t="s">
        <v>202</v>
      </c>
    </row>
    <row r="6" spans="1:5" ht="17">
      <c r="A6" s="6" t="s">
        <v>241</v>
      </c>
      <c r="B6" s="209" t="s">
        <v>1052</v>
      </c>
      <c r="C6" s="209" t="s">
        <v>1053</v>
      </c>
      <c r="D6" s="209" t="s">
        <v>1054</v>
      </c>
      <c r="E6" s="210" t="s">
        <v>1056</v>
      </c>
    </row>
    <row r="7" spans="1:5" ht="17">
      <c r="A7" s="11" t="s">
        <v>208</v>
      </c>
      <c r="B7" s="202" t="s">
        <v>1047</v>
      </c>
      <c r="C7" s="202" t="s">
        <v>1048</v>
      </c>
      <c r="D7" s="202" t="s">
        <v>1055</v>
      </c>
      <c r="E7" s="203" t="s">
        <v>1057</v>
      </c>
    </row>
    <row r="8" spans="1:5" ht="16">
      <c r="A8" s="331"/>
      <c r="B8" s="331"/>
      <c r="C8" s="32"/>
      <c r="D8" s="32"/>
      <c r="E8" s="32"/>
    </row>
  </sheetData>
  <mergeCells count="4">
    <mergeCell ref="A2:E2"/>
    <mergeCell ref="A3:E3"/>
    <mergeCell ref="A8:B8"/>
    <mergeCell ref="A4:E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9"/>
  <sheetViews>
    <sheetView showRuler="0" workbookViewId="0">
      <selection activeCell="A2" sqref="A2:D2"/>
    </sheetView>
  </sheetViews>
  <sheetFormatPr baseColWidth="10" defaultColWidth="12.83203125" defaultRowHeight="13"/>
  <cols>
    <col min="1" max="1" width="41.83203125" customWidth="1"/>
    <col min="2" max="4" width="20.1640625" customWidth="1"/>
  </cols>
  <sheetData>
    <row r="1" spans="1:4" ht="14">
      <c r="A1" s="301" t="str">
        <f>HYPERLINK("#'Index'!A1","Back to index")</f>
        <v>Back to index</v>
      </c>
    </row>
    <row r="2" spans="1:4" ht="25.75" customHeight="1">
      <c r="A2" s="315" t="s">
        <v>63</v>
      </c>
      <c r="B2" s="316"/>
      <c r="C2" s="316"/>
      <c r="D2" s="316"/>
    </row>
    <row r="3" spans="1:4" ht="22.5" customHeight="1">
      <c r="A3" s="317" t="s">
        <v>12</v>
      </c>
      <c r="B3" s="316"/>
      <c r="C3" s="316"/>
      <c r="D3" s="316"/>
    </row>
    <row r="4" spans="1:4">
      <c r="A4" s="338"/>
      <c r="B4" s="338"/>
      <c r="C4" s="338"/>
      <c r="D4" s="338"/>
    </row>
    <row r="5" spans="1:4" ht="34">
      <c r="A5" s="15" t="s">
        <v>217</v>
      </c>
      <c r="B5" s="38" t="s">
        <v>221</v>
      </c>
      <c r="C5" s="39" t="s">
        <v>242</v>
      </c>
      <c r="D5" s="39" t="s">
        <v>243</v>
      </c>
    </row>
    <row r="6" spans="1:4" ht="17">
      <c r="A6" s="32" t="s">
        <v>237</v>
      </c>
      <c r="B6" s="75">
        <v>440000</v>
      </c>
      <c r="C6" s="354">
        <v>1.054</v>
      </c>
      <c r="D6" s="76">
        <v>463833</v>
      </c>
    </row>
    <row r="7" spans="1:4" ht="17">
      <c r="A7" s="212" t="s">
        <v>238</v>
      </c>
      <c r="B7" s="213">
        <v>296000</v>
      </c>
      <c r="C7" s="340"/>
      <c r="D7" s="211">
        <v>312033</v>
      </c>
    </row>
    <row r="8" spans="1:4" ht="17">
      <c r="A8" s="15" t="s">
        <v>239</v>
      </c>
      <c r="B8" s="77">
        <v>296000</v>
      </c>
      <c r="C8" s="341"/>
      <c r="D8" s="78">
        <v>312033</v>
      </c>
    </row>
    <row r="9" spans="1:4" ht="14">
      <c r="A9" s="355"/>
      <c r="B9" s="355"/>
      <c r="C9" s="355"/>
      <c r="D9" s="355"/>
    </row>
  </sheetData>
  <mergeCells count="5">
    <mergeCell ref="A2:D2"/>
    <mergeCell ref="A3:D3"/>
    <mergeCell ref="C6:C8"/>
    <mergeCell ref="A9:D9"/>
    <mergeCell ref="A4:D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18"/>
  <sheetViews>
    <sheetView showRuler="0" workbookViewId="0">
      <selection activeCell="A2" sqref="A2:M2"/>
    </sheetView>
  </sheetViews>
  <sheetFormatPr baseColWidth="10" defaultColWidth="12.83203125" defaultRowHeight="13"/>
  <cols>
    <col min="1" max="1" width="49.1640625" customWidth="1"/>
    <col min="2" max="13" width="16.83203125" customWidth="1"/>
  </cols>
  <sheetData>
    <row r="1" spans="1:13" ht="14">
      <c r="A1" s="301" t="str">
        <f>HYPERLINK("#'Index'!A1","Back to index")</f>
        <v>Back to index</v>
      </c>
    </row>
    <row r="2" spans="1:13" ht="25.75" customHeight="1">
      <c r="A2" s="315" t="s">
        <v>63</v>
      </c>
      <c r="B2" s="316"/>
      <c r="C2" s="316"/>
      <c r="D2" s="316"/>
      <c r="E2" s="316"/>
      <c r="F2" s="316"/>
      <c r="G2" s="316"/>
      <c r="H2" s="316"/>
      <c r="I2" s="316"/>
      <c r="J2" s="316"/>
      <c r="K2" s="316"/>
      <c r="L2" s="316"/>
      <c r="M2" s="316"/>
    </row>
    <row r="3" spans="1:13" ht="22.5" customHeight="1">
      <c r="A3" s="317" t="s">
        <v>244</v>
      </c>
      <c r="B3" s="316"/>
      <c r="C3" s="316"/>
      <c r="D3" s="316"/>
      <c r="E3" s="316"/>
      <c r="F3" s="316"/>
      <c r="G3" s="316"/>
      <c r="H3" s="316"/>
      <c r="I3" s="316"/>
      <c r="J3" s="316"/>
      <c r="K3" s="316"/>
      <c r="L3" s="316"/>
      <c r="M3" s="316"/>
    </row>
    <row r="4" spans="1:13" ht="16" customHeight="1">
      <c r="A4" s="338"/>
      <c r="B4" s="338"/>
      <c r="C4" s="338"/>
      <c r="D4" s="338"/>
      <c r="E4" s="338"/>
      <c r="F4" s="338"/>
      <c r="G4" s="338"/>
      <c r="H4" s="338"/>
      <c r="I4" s="338"/>
      <c r="J4" s="338"/>
      <c r="K4" s="338"/>
      <c r="L4" s="338"/>
      <c r="M4" s="338"/>
    </row>
    <row r="5" spans="1:13" ht="55.75" customHeight="1" thickBot="1">
      <c r="B5" s="356" t="s">
        <v>997</v>
      </c>
      <c r="C5" s="357"/>
      <c r="D5" s="357"/>
      <c r="E5" s="356" t="s">
        <v>998</v>
      </c>
      <c r="F5" s="357"/>
      <c r="G5" s="357"/>
      <c r="H5" s="356" t="s">
        <v>999</v>
      </c>
      <c r="I5" s="357"/>
      <c r="J5" s="357"/>
      <c r="K5" s="356" t="s">
        <v>1000</v>
      </c>
      <c r="L5" s="357"/>
      <c r="M5" s="357"/>
    </row>
    <row r="6" spans="1:13" ht="20" thickBot="1">
      <c r="B6" s="358" t="s">
        <v>64</v>
      </c>
      <c r="C6" s="358"/>
      <c r="D6" s="143" t="s">
        <v>245</v>
      </c>
      <c r="E6" s="358" t="s">
        <v>64</v>
      </c>
      <c r="F6" s="358"/>
      <c r="G6" s="143" t="s">
        <v>246</v>
      </c>
      <c r="H6" s="358" t="s">
        <v>64</v>
      </c>
      <c r="I6" s="358"/>
      <c r="J6" s="143" t="s">
        <v>246</v>
      </c>
      <c r="K6" s="358" t="s">
        <v>64</v>
      </c>
      <c r="L6" s="358"/>
      <c r="M6" s="143" t="s">
        <v>245</v>
      </c>
    </row>
    <row r="7" spans="1:13" ht="18" thickBot="1">
      <c r="B7" s="38" t="s">
        <v>247</v>
      </c>
      <c r="C7" s="38" t="s">
        <v>240</v>
      </c>
      <c r="D7" s="38" t="s">
        <v>247</v>
      </c>
      <c r="E7" s="38" t="s">
        <v>247</v>
      </c>
      <c r="F7" s="38" t="s">
        <v>240</v>
      </c>
      <c r="G7" s="38" t="s">
        <v>247</v>
      </c>
      <c r="H7" s="38" t="s">
        <v>247</v>
      </c>
      <c r="I7" s="38" t="s">
        <v>240</v>
      </c>
      <c r="J7" s="38" t="s">
        <v>247</v>
      </c>
      <c r="K7" s="38" t="s">
        <v>247</v>
      </c>
      <c r="L7" s="38" t="s">
        <v>240</v>
      </c>
      <c r="M7" s="38" t="s">
        <v>247</v>
      </c>
    </row>
    <row r="8" spans="1:13" ht="17">
      <c r="A8" s="6" t="s">
        <v>248</v>
      </c>
      <c r="B8" s="215">
        <v>650000</v>
      </c>
      <c r="C8" s="215">
        <v>32</v>
      </c>
      <c r="D8" s="79">
        <v>54167</v>
      </c>
      <c r="E8" s="215">
        <v>525000</v>
      </c>
      <c r="F8" s="215">
        <v>33</v>
      </c>
      <c r="G8" s="5"/>
      <c r="H8" s="215">
        <v>525000</v>
      </c>
      <c r="I8" s="215">
        <v>33</v>
      </c>
      <c r="J8" s="79">
        <v>460000</v>
      </c>
      <c r="K8" s="215">
        <v>460000</v>
      </c>
      <c r="L8" s="215">
        <v>33</v>
      </c>
      <c r="M8" s="79">
        <v>38333</v>
      </c>
    </row>
    <row r="9" spans="1:13" ht="17">
      <c r="A9" s="7" t="s">
        <v>249</v>
      </c>
      <c r="B9" s="216">
        <v>23513</v>
      </c>
      <c r="C9" s="216">
        <v>1</v>
      </c>
      <c r="D9" s="80">
        <v>1050</v>
      </c>
      <c r="E9" s="216">
        <v>23162</v>
      </c>
      <c r="F9" s="216">
        <v>1</v>
      </c>
      <c r="G9" s="8"/>
      <c r="H9" s="216">
        <v>15573</v>
      </c>
      <c r="I9" s="216">
        <v>1</v>
      </c>
      <c r="J9" s="80">
        <v>14946</v>
      </c>
      <c r="K9" s="216">
        <v>384</v>
      </c>
      <c r="L9" s="216">
        <v>0</v>
      </c>
      <c r="M9" s="80">
        <v>0</v>
      </c>
    </row>
    <row r="10" spans="1:13" ht="17">
      <c r="A10" s="7" t="s">
        <v>250</v>
      </c>
      <c r="B10" s="216">
        <v>260000</v>
      </c>
      <c r="C10" s="216">
        <v>13</v>
      </c>
      <c r="D10" s="80">
        <v>21667</v>
      </c>
      <c r="E10" s="216">
        <v>180000</v>
      </c>
      <c r="F10" s="216">
        <v>11</v>
      </c>
      <c r="G10" s="8"/>
      <c r="H10" s="216">
        <v>180000</v>
      </c>
      <c r="I10" s="216">
        <v>11</v>
      </c>
      <c r="J10" s="80">
        <v>180000</v>
      </c>
      <c r="K10" s="216">
        <v>180000</v>
      </c>
      <c r="L10" s="216">
        <v>13</v>
      </c>
      <c r="M10" s="80">
        <v>15000</v>
      </c>
    </row>
    <row r="11" spans="1:13" ht="17">
      <c r="A11" s="9" t="s">
        <v>251</v>
      </c>
      <c r="B11" s="217"/>
      <c r="C11" s="217"/>
      <c r="D11" s="8"/>
      <c r="E11" s="217"/>
      <c r="F11" s="217"/>
      <c r="G11" s="8"/>
      <c r="H11" s="217"/>
      <c r="I11" s="217"/>
      <c r="J11" s="8"/>
      <c r="K11" s="217"/>
      <c r="L11" s="217"/>
      <c r="M11" s="8"/>
    </row>
    <row r="12" spans="1:13" ht="17">
      <c r="A12" s="81" t="s">
        <v>252</v>
      </c>
      <c r="B12" s="218">
        <v>440000</v>
      </c>
      <c r="C12" s="219">
        <v>22</v>
      </c>
      <c r="D12" s="8"/>
      <c r="E12" s="218">
        <v>350000</v>
      </c>
      <c r="F12" s="219">
        <v>22</v>
      </c>
      <c r="G12" s="8"/>
      <c r="H12" s="218">
        <v>350000</v>
      </c>
      <c r="I12" s="219">
        <v>22</v>
      </c>
      <c r="J12" s="8"/>
      <c r="K12" s="218">
        <v>296000</v>
      </c>
      <c r="L12" s="219">
        <v>21</v>
      </c>
      <c r="M12" s="8"/>
    </row>
    <row r="13" spans="1:13" ht="17">
      <c r="A13" s="81" t="s">
        <v>253</v>
      </c>
      <c r="B13" s="217"/>
      <c r="C13" s="217"/>
      <c r="D13" s="80">
        <v>36667</v>
      </c>
      <c r="E13" s="217"/>
      <c r="F13" s="217"/>
      <c r="G13" s="8"/>
      <c r="H13" s="217"/>
      <c r="I13" s="217"/>
      <c r="J13" s="80">
        <v>296000</v>
      </c>
      <c r="K13" s="217"/>
      <c r="L13" s="217"/>
      <c r="M13" s="80">
        <v>24667</v>
      </c>
    </row>
    <row r="14" spans="1:13" ht="17">
      <c r="A14" s="9" t="s">
        <v>254</v>
      </c>
      <c r="B14" s="217"/>
      <c r="C14" s="217"/>
      <c r="D14" s="8"/>
      <c r="E14" s="217"/>
      <c r="F14" s="217"/>
      <c r="G14" s="8"/>
      <c r="H14" s="217"/>
      <c r="I14" s="217"/>
      <c r="J14" s="8"/>
      <c r="K14" s="217"/>
      <c r="L14" s="220"/>
      <c r="M14" s="8"/>
    </row>
    <row r="15" spans="1:13" ht="17">
      <c r="A15" s="81" t="s">
        <v>255</v>
      </c>
      <c r="B15" s="218">
        <v>660000</v>
      </c>
      <c r="C15" s="219">
        <v>32</v>
      </c>
      <c r="D15" s="8"/>
      <c r="E15" s="218">
        <v>525000</v>
      </c>
      <c r="F15" s="219">
        <v>33</v>
      </c>
      <c r="G15" s="8"/>
      <c r="H15" s="218">
        <v>525000</v>
      </c>
      <c r="I15" s="218">
        <v>33</v>
      </c>
      <c r="J15" s="8"/>
      <c r="K15" s="218">
        <v>444000</v>
      </c>
      <c r="L15" s="218">
        <v>32</v>
      </c>
      <c r="M15" s="8"/>
    </row>
    <row r="16" spans="1:13" ht="17">
      <c r="A16" s="81" t="s">
        <v>256</v>
      </c>
      <c r="B16" s="217"/>
      <c r="C16" s="220"/>
      <c r="D16" s="80">
        <v>55000</v>
      </c>
      <c r="E16" s="217"/>
      <c r="F16" s="217"/>
      <c r="G16" s="8"/>
      <c r="H16" s="217"/>
      <c r="I16" s="220"/>
      <c r="J16" s="80">
        <v>444000</v>
      </c>
      <c r="K16" s="217"/>
      <c r="L16" s="220"/>
      <c r="M16" s="80">
        <v>37000</v>
      </c>
    </row>
    <row r="17" spans="1:13" ht="17">
      <c r="A17" s="82" t="s">
        <v>257</v>
      </c>
      <c r="B17" s="221">
        <v>2033513</v>
      </c>
      <c r="C17" s="221">
        <v>100</v>
      </c>
      <c r="D17" s="83">
        <v>168550</v>
      </c>
      <c r="E17" s="221">
        <v>1603162</v>
      </c>
      <c r="F17" s="221">
        <v>100</v>
      </c>
      <c r="G17" s="84"/>
      <c r="H17" s="221">
        <v>1595573</v>
      </c>
      <c r="I17" s="221">
        <v>100</v>
      </c>
      <c r="J17" s="83">
        <v>1394946</v>
      </c>
      <c r="K17" s="221">
        <v>1380384</v>
      </c>
      <c r="L17" s="221">
        <v>100</v>
      </c>
      <c r="M17" s="83">
        <v>115000</v>
      </c>
    </row>
    <row r="18" spans="1:13" ht="47" customHeight="1">
      <c r="A18" s="319" t="s">
        <v>1058</v>
      </c>
      <c r="B18" s="319"/>
      <c r="C18" s="319"/>
      <c r="D18" s="319"/>
      <c r="E18" s="319"/>
      <c r="F18" s="319"/>
      <c r="G18" s="319"/>
      <c r="H18" s="319"/>
      <c r="I18" s="319"/>
      <c r="J18" s="319"/>
      <c r="K18" s="319"/>
      <c r="L18" s="319"/>
      <c r="M18" s="319"/>
    </row>
  </sheetData>
  <mergeCells count="12">
    <mergeCell ref="A18:M18"/>
    <mergeCell ref="A3:M3"/>
    <mergeCell ref="A2:M2"/>
    <mergeCell ref="K5:M5"/>
    <mergeCell ref="K6:L6"/>
    <mergeCell ref="H5:J5"/>
    <mergeCell ref="B6:C6"/>
    <mergeCell ref="B5:D5"/>
    <mergeCell ref="E5:G5"/>
    <mergeCell ref="E6:F6"/>
    <mergeCell ref="H6:I6"/>
    <mergeCell ref="A4:M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21"/>
  <sheetViews>
    <sheetView showRuler="0" zoomScaleNormal="100" workbookViewId="0">
      <selection activeCell="A2" sqref="A2:J2"/>
    </sheetView>
  </sheetViews>
  <sheetFormatPr baseColWidth="10" defaultColWidth="12.83203125" defaultRowHeight="13"/>
  <cols>
    <col min="1" max="1" width="49.1640625" customWidth="1"/>
    <col min="2" max="22" width="16.83203125" customWidth="1"/>
  </cols>
  <sheetData>
    <row r="1" spans="1:22" ht="14">
      <c r="A1" s="301" t="str">
        <f>HYPERLINK("#'Index'!A1","Back to index")</f>
        <v>Back to index</v>
      </c>
    </row>
    <row r="2" spans="1:22" ht="25.75" customHeight="1">
      <c r="A2" s="315" t="s">
        <v>63</v>
      </c>
      <c r="B2" s="316"/>
      <c r="C2" s="316"/>
      <c r="D2" s="316"/>
      <c r="E2" s="316"/>
      <c r="F2" s="316"/>
      <c r="G2" s="316"/>
      <c r="H2" s="316"/>
      <c r="I2" s="316"/>
      <c r="J2" s="316"/>
    </row>
    <row r="3" spans="1:22" ht="22.5" customHeight="1">
      <c r="A3" s="317" t="s">
        <v>258</v>
      </c>
      <c r="B3" s="316"/>
      <c r="C3" s="316"/>
      <c r="D3" s="316"/>
      <c r="E3" s="316"/>
      <c r="F3" s="316"/>
      <c r="G3" s="316"/>
      <c r="H3" s="316"/>
      <c r="I3" s="316"/>
      <c r="J3" s="316"/>
    </row>
    <row r="4" spans="1:22" ht="16" customHeight="1">
      <c r="A4" s="338"/>
      <c r="B4" s="338"/>
      <c r="C4" s="338"/>
      <c r="D4" s="338"/>
      <c r="E4" s="338"/>
      <c r="F4" s="338"/>
      <c r="G4" s="338"/>
      <c r="H4" s="338"/>
      <c r="I4" s="338"/>
      <c r="J4" s="338"/>
      <c r="K4" s="338"/>
      <c r="L4" s="338"/>
      <c r="M4" s="338"/>
      <c r="N4" s="338"/>
      <c r="O4" s="338"/>
      <c r="P4" s="338"/>
      <c r="Q4" s="338"/>
      <c r="R4" s="338"/>
      <c r="S4" s="338"/>
      <c r="T4" s="338"/>
      <c r="U4" s="338"/>
      <c r="V4" s="338"/>
    </row>
    <row r="5" spans="1:22" ht="66" customHeight="1" thickBot="1">
      <c r="B5" s="360" t="s">
        <v>1001</v>
      </c>
      <c r="C5" s="360"/>
      <c r="D5" s="360"/>
      <c r="E5" s="360" t="s">
        <v>1002</v>
      </c>
      <c r="F5" s="360"/>
      <c r="G5" s="360"/>
      <c r="H5" s="360" t="s">
        <v>1003</v>
      </c>
      <c r="I5" s="360"/>
      <c r="J5" s="360"/>
      <c r="K5" s="360" t="s">
        <v>1004</v>
      </c>
      <c r="L5" s="360"/>
      <c r="M5" s="360"/>
      <c r="N5" s="360" t="s">
        <v>1005</v>
      </c>
      <c r="O5" s="360"/>
      <c r="P5" s="360"/>
      <c r="Q5" s="360" t="s">
        <v>1006</v>
      </c>
      <c r="R5" s="360"/>
      <c r="S5" s="360"/>
      <c r="T5" s="360" t="s">
        <v>1007</v>
      </c>
      <c r="U5" s="360"/>
      <c r="V5" s="360"/>
    </row>
    <row r="6" spans="1:22" ht="20" thickBot="1">
      <c r="B6" s="359" t="s">
        <v>64</v>
      </c>
      <c r="C6" s="359"/>
      <c r="D6" s="228" t="s">
        <v>245</v>
      </c>
      <c r="E6" s="359" t="s">
        <v>64</v>
      </c>
      <c r="F6" s="359"/>
      <c r="G6" s="228" t="s">
        <v>246</v>
      </c>
      <c r="H6" s="359" t="s">
        <v>64</v>
      </c>
      <c r="I6" s="359"/>
      <c r="J6" s="228" t="s">
        <v>246</v>
      </c>
      <c r="K6" s="359" t="s">
        <v>64</v>
      </c>
      <c r="L6" s="359"/>
      <c r="M6" s="228" t="s">
        <v>245</v>
      </c>
      <c r="N6" s="359" t="s">
        <v>64</v>
      </c>
      <c r="O6" s="359"/>
      <c r="P6" s="228" t="s">
        <v>246</v>
      </c>
      <c r="Q6" s="359" t="s">
        <v>64</v>
      </c>
      <c r="R6" s="359"/>
      <c r="S6" s="228" t="s">
        <v>245</v>
      </c>
      <c r="T6" s="359" t="s">
        <v>64</v>
      </c>
      <c r="U6" s="359"/>
      <c r="V6" s="228" t="s">
        <v>245</v>
      </c>
    </row>
    <row r="7" spans="1:22" ht="18" thickBot="1">
      <c r="B7" s="38" t="s">
        <v>247</v>
      </c>
      <c r="C7" s="38" t="s">
        <v>240</v>
      </c>
      <c r="D7" s="38" t="s">
        <v>247</v>
      </c>
      <c r="E7" s="38" t="s">
        <v>247</v>
      </c>
      <c r="F7" s="38" t="s">
        <v>240</v>
      </c>
      <c r="G7" s="38" t="s">
        <v>247</v>
      </c>
      <c r="H7" s="38" t="s">
        <v>247</v>
      </c>
      <c r="I7" s="38" t="s">
        <v>240</v>
      </c>
      <c r="J7" s="38" t="s">
        <v>247</v>
      </c>
      <c r="K7" s="38" t="s">
        <v>247</v>
      </c>
      <c r="L7" s="38" t="s">
        <v>240</v>
      </c>
      <c r="M7" s="38" t="s">
        <v>247</v>
      </c>
      <c r="N7" s="38" t="s">
        <v>247</v>
      </c>
      <c r="O7" s="38" t="s">
        <v>240</v>
      </c>
      <c r="P7" s="38" t="s">
        <v>247</v>
      </c>
      <c r="Q7" s="38" t="s">
        <v>247</v>
      </c>
      <c r="R7" s="38" t="s">
        <v>240</v>
      </c>
      <c r="S7" s="38" t="s">
        <v>247</v>
      </c>
      <c r="T7" s="38" t="s">
        <v>247</v>
      </c>
      <c r="U7" s="38" t="s">
        <v>240</v>
      </c>
      <c r="V7" s="38" t="s">
        <v>247</v>
      </c>
    </row>
    <row r="8" spans="1:22" ht="17">
      <c r="A8" s="6" t="s">
        <v>248</v>
      </c>
      <c r="B8" s="222">
        <v>650000</v>
      </c>
      <c r="C8" s="223">
        <v>50</v>
      </c>
      <c r="D8" s="86">
        <v>54167</v>
      </c>
      <c r="E8" s="222">
        <v>525000</v>
      </c>
      <c r="F8" s="223">
        <v>45</v>
      </c>
      <c r="G8" s="5"/>
      <c r="H8" s="222">
        <v>525000</v>
      </c>
      <c r="I8" s="223">
        <v>52</v>
      </c>
      <c r="J8" s="86">
        <v>460000</v>
      </c>
      <c r="K8" s="222">
        <v>460000</v>
      </c>
      <c r="L8" s="223">
        <v>52</v>
      </c>
      <c r="M8" s="86">
        <v>38333</v>
      </c>
      <c r="N8" s="223"/>
      <c r="O8" s="223"/>
      <c r="P8" s="87">
        <v>650000</v>
      </c>
      <c r="Q8" s="223"/>
      <c r="R8" s="223"/>
      <c r="S8" s="86">
        <v>268333</v>
      </c>
      <c r="T8" s="223"/>
      <c r="U8" s="223"/>
      <c r="V8" s="86">
        <v>345000</v>
      </c>
    </row>
    <row r="9" spans="1:22" ht="17">
      <c r="A9" s="7" t="s">
        <v>249</v>
      </c>
      <c r="B9" s="218">
        <v>23513</v>
      </c>
      <c r="C9" s="217">
        <v>2</v>
      </c>
      <c r="D9" s="88">
        <v>1050</v>
      </c>
      <c r="E9" s="218">
        <v>23162</v>
      </c>
      <c r="F9" s="217">
        <v>2</v>
      </c>
      <c r="G9" s="8"/>
      <c r="H9" s="218">
        <v>15573</v>
      </c>
      <c r="I9" s="217">
        <v>2</v>
      </c>
      <c r="J9" s="88">
        <v>14946</v>
      </c>
      <c r="K9" s="218">
        <v>384</v>
      </c>
      <c r="L9" s="217">
        <v>0</v>
      </c>
      <c r="M9" s="88">
        <v>0</v>
      </c>
      <c r="N9" s="217"/>
      <c r="O9" s="217"/>
      <c r="P9" s="89">
        <v>18377</v>
      </c>
      <c r="Q9" s="217"/>
      <c r="R9" s="217"/>
      <c r="S9" s="88">
        <v>27374</v>
      </c>
      <c r="T9" s="217"/>
      <c r="U9" s="217"/>
      <c r="V9" s="88">
        <v>17265</v>
      </c>
    </row>
    <row r="10" spans="1:22" ht="17">
      <c r="A10" s="7" t="s">
        <v>250</v>
      </c>
      <c r="B10" s="218">
        <v>260000</v>
      </c>
      <c r="C10" s="217">
        <v>20</v>
      </c>
      <c r="D10" s="88">
        <v>21667</v>
      </c>
      <c r="E10" s="218">
        <v>180000</v>
      </c>
      <c r="F10" s="217">
        <v>15</v>
      </c>
      <c r="G10" s="8"/>
      <c r="H10" s="218">
        <v>180000</v>
      </c>
      <c r="I10" s="217">
        <v>18</v>
      </c>
      <c r="J10" s="88">
        <v>180000</v>
      </c>
      <c r="K10" s="218">
        <v>180000</v>
      </c>
      <c r="L10" s="217">
        <v>2</v>
      </c>
      <c r="M10" s="88">
        <v>15000</v>
      </c>
      <c r="N10" s="217"/>
      <c r="O10" s="217"/>
      <c r="P10" s="89">
        <v>260000</v>
      </c>
      <c r="Q10" s="217"/>
      <c r="R10" s="217"/>
      <c r="S10" s="88">
        <v>105000</v>
      </c>
      <c r="T10" s="217"/>
      <c r="U10" s="217"/>
      <c r="V10" s="88">
        <v>135000</v>
      </c>
    </row>
    <row r="11" spans="1:22" ht="34">
      <c r="A11" s="7" t="s">
        <v>259</v>
      </c>
      <c r="B11" s="218">
        <v>0</v>
      </c>
      <c r="C11" s="217">
        <v>0</v>
      </c>
      <c r="D11" s="8">
        <v>0</v>
      </c>
      <c r="E11" s="218">
        <v>150000</v>
      </c>
      <c r="F11" s="217">
        <v>13</v>
      </c>
      <c r="G11" s="8"/>
      <c r="H11" s="218">
        <v>0</v>
      </c>
      <c r="I11" s="217">
        <v>0</v>
      </c>
      <c r="J11" s="88">
        <v>0</v>
      </c>
      <c r="K11" s="218">
        <v>0</v>
      </c>
      <c r="L11" s="217">
        <v>0</v>
      </c>
      <c r="M11" s="88">
        <v>0</v>
      </c>
      <c r="N11" s="217"/>
      <c r="O11" s="217"/>
      <c r="P11" s="89">
        <v>4110000</v>
      </c>
      <c r="Q11" s="217"/>
      <c r="R11" s="217"/>
      <c r="S11" s="88">
        <v>2840400</v>
      </c>
      <c r="T11" s="217"/>
      <c r="U11" s="217"/>
      <c r="V11" s="88">
        <v>2130300</v>
      </c>
    </row>
    <row r="12" spans="1:22" ht="17">
      <c r="A12" s="9" t="s">
        <v>251</v>
      </c>
      <c r="B12" s="217"/>
      <c r="C12" s="217"/>
      <c r="D12" s="8"/>
      <c r="E12" s="217"/>
      <c r="F12" s="217"/>
      <c r="G12" s="8"/>
      <c r="H12" s="217"/>
      <c r="I12" s="217"/>
      <c r="J12" s="8"/>
      <c r="K12" s="217"/>
      <c r="L12" s="217"/>
      <c r="M12" s="8"/>
      <c r="N12" s="217"/>
      <c r="O12" s="217"/>
      <c r="P12" s="8"/>
      <c r="Q12" s="217"/>
      <c r="R12" s="217"/>
      <c r="S12" s="8"/>
      <c r="T12" s="217"/>
      <c r="U12" s="217"/>
      <c r="V12" s="8"/>
    </row>
    <row r="13" spans="1:22" ht="17">
      <c r="A13" s="81" t="s">
        <v>252</v>
      </c>
      <c r="B13" s="218">
        <v>363090</v>
      </c>
      <c r="C13" s="220">
        <v>28</v>
      </c>
      <c r="D13" s="8"/>
      <c r="E13" s="218">
        <v>288822</v>
      </c>
      <c r="F13" s="220">
        <v>25</v>
      </c>
      <c r="G13" s="8"/>
      <c r="H13" s="218">
        <v>288822</v>
      </c>
      <c r="I13" s="220">
        <v>29</v>
      </c>
      <c r="J13" s="8"/>
      <c r="K13" s="218">
        <v>244261</v>
      </c>
      <c r="L13" s="220">
        <v>28</v>
      </c>
      <c r="M13" s="8"/>
      <c r="N13" s="217"/>
      <c r="O13" s="220"/>
      <c r="P13" s="8"/>
      <c r="Q13" s="217"/>
      <c r="R13" s="220"/>
      <c r="S13" s="8"/>
      <c r="T13" s="217"/>
      <c r="U13" s="220"/>
      <c r="V13" s="8"/>
    </row>
    <row r="14" spans="1:22" ht="17">
      <c r="A14" s="81" t="s">
        <v>253</v>
      </c>
      <c r="B14" s="217"/>
      <c r="C14" s="220"/>
      <c r="D14" s="88">
        <v>38984</v>
      </c>
      <c r="E14" s="217"/>
      <c r="F14" s="220"/>
      <c r="G14" s="8"/>
      <c r="H14" s="217"/>
      <c r="I14" s="220"/>
      <c r="J14" s="88">
        <v>314707</v>
      </c>
      <c r="K14" s="217"/>
      <c r="L14" s="220"/>
      <c r="M14" s="88">
        <v>26226</v>
      </c>
      <c r="N14" s="217"/>
      <c r="O14" s="220"/>
      <c r="P14" s="89">
        <v>467808</v>
      </c>
      <c r="Q14" s="217"/>
      <c r="R14" s="220"/>
      <c r="S14" s="88">
        <v>183579</v>
      </c>
      <c r="T14" s="217"/>
      <c r="U14" s="220"/>
      <c r="V14" s="88">
        <v>236030</v>
      </c>
    </row>
    <row r="15" spans="1:22" ht="17">
      <c r="A15" s="9" t="s">
        <v>254</v>
      </c>
      <c r="B15" s="217"/>
      <c r="C15" s="217"/>
      <c r="D15" s="8"/>
      <c r="E15" s="217"/>
      <c r="F15" s="217"/>
      <c r="G15" s="8"/>
      <c r="H15" s="217"/>
      <c r="I15" s="217"/>
      <c r="J15" s="8"/>
      <c r="K15" s="217"/>
      <c r="L15" s="217"/>
      <c r="M15" s="8"/>
      <c r="N15" s="227"/>
      <c r="O15" s="217"/>
      <c r="P15" s="8"/>
      <c r="Q15" s="217"/>
      <c r="R15" s="217"/>
      <c r="S15" s="8"/>
      <c r="T15" s="217"/>
      <c r="U15" s="217"/>
      <c r="V15" s="8"/>
    </row>
    <row r="16" spans="1:22" ht="17">
      <c r="A16" s="81" t="s">
        <v>10</v>
      </c>
      <c r="B16" s="217"/>
      <c r="C16" s="220"/>
      <c r="D16" s="8"/>
      <c r="E16" s="217"/>
      <c r="F16" s="220"/>
      <c r="G16" s="8"/>
      <c r="H16" s="217"/>
      <c r="I16" s="220"/>
      <c r="J16" s="8"/>
      <c r="K16" s="217"/>
      <c r="L16" s="220"/>
      <c r="M16" s="8"/>
      <c r="N16" s="218">
        <v>409200</v>
      </c>
      <c r="O16" s="220">
        <v>47</v>
      </c>
      <c r="P16" s="8"/>
      <c r="Q16" s="218">
        <v>275280</v>
      </c>
      <c r="R16" s="220">
        <v>47</v>
      </c>
      <c r="S16" s="8"/>
      <c r="T16" s="226">
        <v>275280</v>
      </c>
      <c r="U16" s="220">
        <v>47</v>
      </c>
      <c r="V16" s="8"/>
    </row>
    <row r="17" spans="1:22" ht="17">
      <c r="A17" s="81" t="s">
        <v>260</v>
      </c>
      <c r="B17" s="217"/>
      <c r="C17" s="220"/>
      <c r="D17" s="8"/>
      <c r="E17" s="217"/>
      <c r="F17" s="220"/>
      <c r="G17" s="8"/>
      <c r="H17" s="217"/>
      <c r="I17" s="220"/>
      <c r="J17" s="8"/>
      <c r="K17" s="217"/>
      <c r="L17" s="220"/>
      <c r="M17" s="8"/>
      <c r="N17" s="227"/>
      <c r="O17" s="220"/>
      <c r="P17" s="89">
        <v>228401</v>
      </c>
      <c r="Q17" s="217"/>
      <c r="R17" s="220"/>
      <c r="S17" s="89">
        <v>155312</v>
      </c>
      <c r="T17" s="217"/>
      <c r="U17" s="220"/>
      <c r="V17" s="89">
        <v>155312</v>
      </c>
    </row>
    <row r="18" spans="1:22" ht="17">
      <c r="A18" s="81" t="s">
        <v>261</v>
      </c>
      <c r="B18" s="217"/>
      <c r="C18" s="220"/>
      <c r="D18" s="8"/>
      <c r="E18" s="217"/>
      <c r="F18" s="220"/>
      <c r="G18" s="8"/>
      <c r="H18" s="217"/>
      <c r="I18" s="220"/>
      <c r="J18" s="8"/>
      <c r="K18" s="217"/>
      <c r="L18" s="220"/>
      <c r="M18" s="8"/>
      <c r="N18" s="218">
        <v>463833</v>
      </c>
      <c r="O18" s="220">
        <v>53</v>
      </c>
      <c r="P18" s="8"/>
      <c r="Q18" s="218">
        <v>312033</v>
      </c>
      <c r="R18" s="220">
        <v>53</v>
      </c>
      <c r="S18" s="8"/>
      <c r="T18" s="226">
        <v>312033</v>
      </c>
      <c r="U18" s="220">
        <v>53</v>
      </c>
      <c r="V18" s="8"/>
    </row>
    <row r="19" spans="1:22" ht="17">
      <c r="A19" s="81" t="s">
        <v>262</v>
      </c>
      <c r="B19" s="217"/>
      <c r="C19" s="220"/>
      <c r="D19" s="8"/>
      <c r="E19" s="217"/>
      <c r="F19" s="220"/>
      <c r="G19" s="8"/>
      <c r="H19" s="217"/>
      <c r="I19" s="220"/>
      <c r="J19" s="8"/>
      <c r="K19" s="217"/>
      <c r="L19" s="220"/>
      <c r="M19" s="8"/>
      <c r="N19" s="217"/>
      <c r="O19" s="220"/>
      <c r="P19" s="89">
        <v>487500</v>
      </c>
      <c r="Q19" s="217"/>
      <c r="R19" s="220"/>
      <c r="S19" s="89">
        <v>331500</v>
      </c>
      <c r="T19" s="217"/>
      <c r="U19" s="220"/>
      <c r="V19" s="89">
        <v>331500</v>
      </c>
    </row>
    <row r="20" spans="1:22" ht="17">
      <c r="A20" s="82" t="s">
        <v>257</v>
      </c>
      <c r="B20" s="224">
        <v>1296603</v>
      </c>
      <c r="C20" s="225">
        <v>100</v>
      </c>
      <c r="D20" s="90">
        <v>115867</v>
      </c>
      <c r="E20" s="224">
        <v>1166984</v>
      </c>
      <c r="F20" s="225">
        <v>100</v>
      </c>
      <c r="G20" s="84"/>
      <c r="H20" s="224">
        <v>1009395</v>
      </c>
      <c r="I20" s="225">
        <v>100</v>
      </c>
      <c r="J20" s="90">
        <v>969653</v>
      </c>
      <c r="K20" s="224">
        <v>884645</v>
      </c>
      <c r="L20" s="225">
        <v>100</v>
      </c>
      <c r="M20" s="90">
        <v>79559</v>
      </c>
      <c r="N20" s="224">
        <v>873033</v>
      </c>
      <c r="O20" s="225">
        <v>100</v>
      </c>
      <c r="P20" s="91">
        <v>6222085</v>
      </c>
      <c r="Q20" s="224">
        <v>587313</v>
      </c>
      <c r="R20" s="225">
        <v>100</v>
      </c>
      <c r="S20" s="90">
        <v>3911499</v>
      </c>
      <c r="T20" s="224">
        <v>587313</v>
      </c>
      <c r="U20" s="225">
        <v>100</v>
      </c>
      <c r="V20" s="90">
        <v>3350408</v>
      </c>
    </row>
    <row r="21" spans="1:22" ht="63" customHeight="1">
      <c r="A21" s="319" t="s">
        <v>1059</v>
      </c>
      <c r="B21" s="319"/>
      <c r="C21" s="319"/>
      <c r="D21" s="319"/>
      <c r="E21" s="319"/>
      <c r="F21" s="319"/>
      <c r="G21" s="319"/>
      <c r="H21" s="319"/>
      <c r="I21" s="319"/>
      <c r="J21" s="319"/>
      <c r="K21" s="319"/>
      <c r="L21" s="319"/>
      <c r="M21" s="319"/>
      <c r="N21" s="55"/>
      <c r="O21" s="55"/>
      <c r="P21" s="55"/>
      <c r="Q21" s="55"/>
      <c r="R21" s="55"/>
      <c r="S21" s="55"/>
      <c r="T21" s="55"/>
      <c r="U21" s="55"/>
      <c r="V21" s="55"/>
    </row>
  </sheetData>
  <mergeCells count="18">
    <mergeCell ref="A21:M21"/>
    <mergeCell ref="T5:V5"/>
    <mergeCell ref="Q6:R6"/>
    <mergeCell ref="Q5:S5"/>
    <mergeCell ref="T6:U6"/>
    <mergeCell ref="A3:J3"/>
    <mergeCell ref="A2:J2"/>
    <mergeCell ref="N6:O6"/>
    <mergeCell ref="N5:P5"/>
    <mergeCell ref="K5:M5"/>
    <mergeCell ref="K6:L6"/>
    <mergeCell ref="H5:J5"/>
    <mergeCell ref="B6:C6"/>
    <mergeCell ref="B5:D5"/>
    <mergeCell ref="E5:G5"/>
    <mergeCell ref="E6:F6"/>
    <mergeCell ref="H6:I6"/>
    <mergeCell ref="A4:V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9"/>
  <sheetViews>
    <sheetView showRuler="0" workbookViewId="0">
      <selection activeCell="A2" sqref="A2:C2"/>
    </sheetView>
  </sheetViews>
  <sheetFormatPr baseColWidth="10" defaultColWidth="12.83203125" defaultRowHeight="13"/>
  <cols>
    <col min="1" max="1" width="59.5" customWidth="1"/>
    <col min="2" max="3" width="20.1640625" customWidth="1"/>
  </cols>
  <sheetData>
    <row r="1" spans="1:4" ht="14">
      <c r="A1" s="301" t="str">
        <f>HYPERLINK("#'Index'!A1","Back to index")</f>
        <v>Back to index</v>
      </c>
    </row>
    <row r="2" spans="1:4" ht="25.75" customHeight="1">
      <c r="A2" s="315" t="s">
        <v>63</v>
      </c>
      <c r="B2" s="316"/>
      <c r="C2" s="316"/>
    </row>
    <row r="3" spans="1:4" ht="39.25" customHeight="1">
      <c r="A3" s="361" t="s">
        <v>13</v>
      </c>
      <c r="B3" s="362"/>
      <c r="C3" s="362"/>
      <c r="D3" s="37"/>
    </row>
    <row r="4" spans="1:4">
      <c r="A4" s="338"/>
      <c r="B4" s="338"/>
      <c r="C4" s="338"/>
    </row>
    <row r="5" spans="1:4" ht="17" thickBot="1">
      <c r="A5" s="56"/>
      <c r="B5" s="360" t="s">
        <v>263</v>
      </c>
      <c r="C5" s="360"/>
    </row>
    <row r="6" spans="1:4" ht="18" thickBot="1">
      <c r="A6" s="205" t="s">
        <v>247</v>
      </c>
      <c r="B6" s="303" t="s">
        <v>64</v>
      </c>
      <c r="C6" s="33" t="s">
        <v>246</v>
      </c>
    </row>
    <row r="7" spans="1:4" ht="17">
      <c r="A7" s="6" t="s">
        <v>264</v>
      </c>
      <c r="B7" s="65">
        <v>93323</v>
      </c>
      <c r="C7" s="86">
        <v>89775</v>
      </c>
    </row>
    <row r="8" spans="1:4" ht="18" thickBot="1">
      <c r="A8" s="11" t="s">
        <v>265</v>
      </c>
      <c r="B8" s="68">
        <v>116736</v>
      </c>
      <c r="C8" s="94">
        <v>116736</v>
      </c>
    </row>
    <row r="9" spans="1:4" ht="16">
      <c r="A9" s="363"/>
      <c r="B9" s="363"/>
      <c r="C9" s="363"/>
    </row>
  </sheetData>
  <mergeCells count="5">
    <mergeCell ref="A2:C2"/>
    <mergeCell ref="A3:C3"/>
    <mergeCell ref="B5:C5"/>
    <mergeCell ref="A9:C9"/>
    <mergeCell ref="A4:C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1"/>
  <sheetViews>
    <sheetView showRuler="0" workbookViewId="0">
      <selection activeCell="A2" sqref="A2:I2"/>
    </sheetView>
  </sheetViews>
  <sheetFormatPr baseColWidth="10" defaultColWidth="12.83203125" defaultRowHeight="13"/>
  <cols>
    <col min="1" max="1" width="56.5" customWidth="1"/>
    <col min="2" max="2" width="17.6640625" customWidth="1"/>
    <col min="3" max="8" width="16.83203125" customWidth="1"/>
    <col min="9" max="9" width="23.6640625" customWidth="1"/>
  </cols>
  <sheetData>
    <row r="1" spans="1:10" ht="14">
      <c r="A1" s="301" t="str">
        <f>HYPERLINK("#'Index'!A1","Back to index")</f>
        <v>Back to index</v>
      </c>
    </row>
    <row r="2" spans="1:10" ht="25.75" customHeight="1">
      <c r="A2" s="315" t="s">
        <v>63</v>
      </c>
      <c r="B2" s="316"/>
      <c r="C2" s="316"/>
      <c r="D2" s="316"/>
      <c r="E2" s="316"/>
      <c r="F2" s="316"/>
      <c r="G2" s="316"/>
      <c r="H2" s="316"/>
      <c r="I2" s="316"/>
    </row>
    <row r="3" spans="1:10" ht="22.5" customHeight="1">
      <c r="A3" s="317" t="s">
        <v>266</v>
      </c>
      <c r="B3" s="316"/>
      <c r="C3" s="316"/>
      <c r="D3" s="316"/>
      <c r="E3" s="316"/>
      <c r="F3" s="316"/>
      <c r="G3" s="316"/>
      <c r="H3" s="316"/>
      <c r="I3" s="316"/>
      <c r="J3" s="37"/>
    </row>
    <row r="4" spans="1:10">
      <c r="A4" s="338"/>
      <c r="B4" s="338"/>
      <c r="C4" s="338"/>
      <c r="D4" s="338"/>
      <c r="E4" s="338"/>
      <c r="F4" s="338"/>
      <c r="G4" s="338"/>
      <c r="H4" s="338"/>
      <c r="I4" s="338"/>
    </row>
    <row r="5" spans="1:10" ht="30.75" customHeight="1" thickBot="1">
      <c r="C5" s="364" t="s">
        <v>267</v>
      </c>
      <c r="D5" s="364"/>
      <c r="E5" s="364" t="s">
        <v>268</v>
      </c>
      <c r="F5" s="364"/>
      <c r="G5" s="364" t="s">
        <v>269</v>
      </c>
      <c r="H5" s="364"/>
      <c r="I5" s="304" t="s">
        <v>257</v>
      </c>
    </row>
    <row r="6" spans="1:10" ht="18" thickBot="1">
      <c r="A6" s="95" t="s">
        <v>270</v>
      </c>
      <c r="B6" s="38"/>
      <c r="C6" s="38" t="s">
        <v>247</v>
      </c>
      <c r="D6" s="38" t="s">
        <v>240</v>
      </c>
      <c r="E6" s="38" t="s">
        <v>247</v>
      </c>
      <c r="F6" s="38" t="s">
        <v>240</v>
      </c>
      <c r="G6" s="38" t="s">
        <v>247</v>
      </c>
      <c r="H6" s="38" t="s">
        <v>240</v>
      </c>
      <c r="I6" s="38" t="s">
        <v>247</v>
      </c>
    </row>
    <row r="7" spans="1:10" ht="17">
      <c r="A7" s="4" t="s">
        <v>271</v>
      </c>
      <c r="B7" s="96"/>
      <c r="C7" s="97"/>
      <c r="D7" s="97"/>
      <c r="E7" s="97"/>
      <c r="F7" s="97"/>
      <c r="G7" s="97"/>
      <c r="H7" s="97"/>
      <c r="I7" s="97"/>
    </row>
    <row r="8" spans="1:10" ht="34">
      <c r="A8" s="7" t="s">
        <v>272</v>
      </c>
      <c r="B8" s="7" t="s">
        <v>273</v>
      </c>
      <c r="C8" s="67">
        <v>225000</v>
      </c>
      <c r="D8" s="47">
        <v>80</v>
      </c>
      <c r="E8" s="67">
        <v>45000</v>
      </c>
      <c r="F8" s="47">
        <v>16</v>
      </c>
      <c r="G8" s="67">
        <v>13000</v>
      </c>
      <c r="H8" s="47">
        <v>5</v>
      </c>
      <c r="I8" s="98">
        <v>283000</v>
      </c>
    </row>
    <row r="9" spans="1:10" ht="17">
      <c r="A9" s="7" t="s">
        <v>274</v>
      </c>
      <c r="B9" s="7" t="s">
        <v>275</v>
      </c>
      <c r="C9" s="67">
        <v>75000</v>
      </c>
      <c r="D9" s="47">
        <v>65</v>
      </c>
      <c r="E9" s="67">
        <v>30000</v>
      </c>
      <c r="F9" s="47">
        <v>26</v>
      </c>
      <c r="G9" s="67">
        <v>11000</v>
      </c>
      <c r="H9" s="47">
        <v>9</v>
      </c>
      <c r="I9" s="98">
        <v>116000</v>
      </c>
    </row>
    <row r="10" spans="1:10" ht="17">
      <c r="A10" s="7" t="s">
        <v>77</v>
      </c>
      <c r="B10" s="7" t="s">
        <v>276</v>
      </c>
      <c r="C10" s="67">
        <v>75000</v>
      </c>
      <c r="D10" s="47">
        <v>68</v>
      </c>
      <c r="E10" s="67">
        <v>25000</v>
      </c>
      <c r="F10" s="47">
        <v>23</v>
      </c>
      <c r="G10" s="67">
        <v>11000</v>
      </c>
      <c r="H10" s="47">
        <v>10</v>
      </c>
      <c r="I10" s="98">
        <v>111000</v>
      </c>
    </row>
    <row r="11" spans="1:10" ht="17">
      <c r="A11" s="7" t="s">
        <v>277</v>
      </c>
      <c r="B11" s="7" t="s">
        <v>275</v>
      </c>
      <c r="C11" s="67">
        <v>75000</v>
      </c>
      <c r="D11" s="47">
        <v>62</v>
      </c>
      <c r="E11" s="67">
        <v>37500</v>
      </c>
      <c r="F11" s="47">
        <v>31</v>
      </c>
      <c r="G11" s="67">
        <v>9000</v>
      </c>
      <c r="H11" s="47">
        <v>7</v>
      </c>
      <c r="I11" s="98">
        <v>121500</v>
      </c>
    </row>
    <row r="12" spans="1:10" ht="17">
      <c r="A12" s="7" t="s">
        <v>81</v>
      </c>
      <c r="B12" s="7" t="s">
        <v>273</v>
      </c>
      <c r="C12" s="67">
        <v>75000</v>
      </c>
      <c r="D12" s="47">
        <v>56</v>
      </c>
      <c r="E12" s="67">
        <v>45000</v>
      </c>
      <c r="F12" s="47">
        <v>33</v>
      </c>
      <c r="G12" s="67">
        <v>15000</v>
      </c>
      <c r="H12" s="47">
        <v>11</v>
      </c>
      <c r="I12" s="98">
        <v>135000</v>
      </c>
    </row>
    <row r="13" spans="1:10" ht="17">
      <c r="A13" s="7" t="s">
        <v>84</v>
      </c>
      <c r="B13" s="7" t="s">
        <v>278</v>
      </c>
      <c r="C13" s="67">
        <v>75000</v>
      </c>
      <c r="D13" s="47">
        <v>66</v>
      </c>
      <c r="E13" s="67">
        <v>25000</v>
      </c>
      <c r="F13" s="47">
        <v>22</v>
      </c>
      <c r="G13" s="67">
        <v>14000</v>
      </c>
      <c r="H13" s="47">
        <v>12</v>
      </c>
      <c r="I13" s="98">
        <v>114000</v>
      </c>
    </row>
    <row r="14" spans="1:10" ht="17">
      <c r="A14" s="9" t="s">
        <v>279</v>
      </c>
      <c r="B14" s="93"/>
      <c r="C14" s="51"/>
      <c r="D14" s="51"/>
      <c r="E14" s="51"/>
      <c r="F14" s="51"/>
      <c r="G14" s="51"/>
      <c r="H14" s="51"/>
      <c r="I14" s="51"/>
    </row>
    <row r="15" spans="1:10" ht="34">
      <c r="A15" s="7" t="s">
        <v>280</v>
      </c>
      <c r="B15" s="7" t="s">
        <v>281</v>
      </c>
      <c r="C15" s="67">
        <v>150000</v>
      </c>
      <c r="D15" s="47">
        <v>81</v>
      </c>
      <c r="E15" s="67">
        <v>25000</v>
      </c>
      <c r="F15" s="47">
        <v>14</v>
      </c>
      <c r="G15" s="67">
        <v>10000</v>
      </c>
      <c r="H15" s="47">
        <v>5</v>
      </c>
      <c r="I15" s="98">
        <v>185000</v>
      </c>
    </row>
    <row r="16" spans="1:10" ht="17">
      <c r="A16" s="7" t="s">
        <v>74</v>
      </c>
      <c r="B16" s="7" t="s">
        <v>282</v>
      </c>
      <c r="C16" s="67">
        <v>75000</v>
      </c>
      <c r="D16" s="47">
        <v>66</v>
      </c>
      <c r="E16" s="67">
        <v>25000</v>
      </c>
      <c r="F16" s="47">
        <v>22</v>
      </c>
      <c r="G16" s="67">
        <v>14000</v>
      </c>
      <c r="H16" s="47">
        <v>12</v>
      </c>
      <c r="I16" s="98">
        <v>114000</v>
      </c>
    </row>
    <row r="17" spans="1:9" ht="17">
      <c r="A17" s="7" t="s">
        <v>76</v>
      </c>
      <c r="B17" s="7" t="s">
        <v>282</v>
      </c>
      <c r="C17" s="67">
        <v>75000</v>
      </c>
      <c r="D17" s="47">
        <v>68</v>
      </c>
      <c r="E17" s="67">
        <v>22500</v>
      </c>
      <c r="F17" s="47">
        <v>20</v>
      </c>
      <c r="G17" s="67">
        <v>13000</v>
      </c>
      <c r="H17" s="47">
        <v>12</v>
      </c>
      <c r="I17" s="98">
        <v>110500</v>
      </c>
    </row>
    <row r="18" spans="1:9" ht="17">
      <c r="A18" s="7" t="s">
        <v>82</v>
      </c>
      <c r="B18" s="7" t="s">
        <v>273</v>
      </c>
      <c r="C18" s="67">
        <v>75000</v>
      </c>
      <c r="D18" s="47">
        <v>69</v>
      </c>
      <c r="E18" s="67">
        <v>22500</v>
      </c>
      <c r="F18" s="47">
        <v>21</v>
      </c>
      <c r="G18" s="67">
        <v>11000</v>
      </c>
      <c r="H18" s="47">
        <v>10</v>
      </c>
      <c r="I18" s="98">
        <v>108500</v>
      </c>
    </row>
    <row r="19" spans="1:9" ht="17">
      <c r="A19" s="7" t="s">
        <v>83</v>
      </c>
      <c r="B19" s="7" t="s">
        <v>275</v>
      </c>
      <c r="C19" s="67">
        <v>75000</v>
      </c>
      <c r="D19" s="47">
        <v>81</v>
      </c>
      <c r="E19" s="67">
        <v>7500</v>
      </c>
      <c r="F19" s="47">
        <v>8</v>
      </c>
      <c r="G19" s="67">
        <v>10000</v>
      </c>
      <c r="H19" s="47">
        <v>11</v>
      </c>
      <c r="I19" s="98">
        <v>92500</v>
      </c>
    </row>
    <row r="20" spans="1:9" ht="17">
      <c r="A20" s="11" t="s">
        <v>85</v>
      </c>
      <c r="B20" s="11" t="s">
        <v>273</v>
      </c>
      <c r="C20" s="68">
        <v>75000</v>
      </c>
      <c r="D20" s="179">
        <v>68</v>
      </c>
      <c r="E20" s="68">
        <v>22500</v>
      </c>
      <c r="F20" s="179">
        <v>20</v>
      </c>
      <c r="G20" s="68">
        <v>13000</v>
      </c>
      <c r="H20" s="179">
        <v>12</v>
      </c>
      <c r="I20" s="99">
        <v>110500</v>
      </c>
    </row>
    <row r="21" spans="1:9" ht="20" customHeight="1">
      <c r="A21" s="353" t="s">
        <v>1060</v>
      </c>
      <c r="B21" s="353"/>
      <c r="C21" s="353"/>
      <c r="D21" s="353"/>
      <c r="E21" s="353"/>
      <c r="F21" s="353"/>
      <c r="G21" s="353"/>
      <c r="H21" s="353"/>
      <c r="I21" s="353"/>
    </row>
  </sheetData>
  <mergeCells count="7">
    <mergeCell ref="A2:I2"/>
    <mergeCell ref="A21:I21"/>
    <mergeCell ref="C5:D5"/>
    <mergeCell ref="E5:F5"/>
    <mergeCell ref="G5:H5"/>
    <mergeCell ref="A3:I3"/>
    <mergeCell ref="A4:I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1"/>
  <sheetViews>
    <sheetView showRuler="0" workbookViewId="0">
      <selection activeCell="A2" sqref="A2:I2"/>
    </sheetView>
  </sheetViews>
  <sheetFormatPr baseColWidth="10" defaultColWidth="12.83203125" defaultRowHeight="13"/>
  <cols>
    <col min="1" max="1" width="56.5" customWidth="1"/>
    <col min="2" max="2" width="23.83203125" customWidth="1"/>
    <col min="3" max="8" width="16.83203125" customWidth="1"/>
    <col min="9" max="9" width="24.33203125" customWidth="1"/>
  </cols>
  <sheetData>
    <row r="1" spans="1:10" ht="14">
      <c r="A1" s="301" t="str">
        <f>HYPERLINK("#'Index'!A1","Back to index")</f>
        <v>Back to index</v>
      </c>
    </row>
    <row r="2" spans="1:10" ht="25.75" customHeight="1">
      <c r="A2" s="315" t="s">
        <v>63</v>
      </c>
      <c r="B2" s="316"/>
      <c r="C2" s="316"/>
      <c r="D2" s="316"/>
      <c r="E2" s="316"/>
      <c r="F2" s="316"/>
      <c r="G2" s="316"/>
      <c r="H2" s="316"/>
      <c r="I2" s="316"/>
    </row>
    <row r="3" spans="1:10" ht="22.5" customHeight="1">
      <c r="A3" s="317" t="s">
        <v>283</v>
      </c>
      <c r="B3" s="316"/>
      <c r="C3" s="316"/>
      <c r="D3" s="316"/>
      <c r="E3" s="316"/>
      <c r="F3" s="316"/>
      <c r="G3" s="316"/>
      <c r="H3" s="316"/>
      <c r="I3" s="316"/>
      <c r="J3" s="37"/>
    </row>
    <row r="4" spans="1:10">
      <c r="A4" s="338"/>
      <c r="B4" s="338"/>
      <c r="C4" s="338"/>
      <c r="D4" s="338"/>
      <c r="E4" s="338"/>
      <c r="F4" s="338"/>
      <c r="G4" s="338"/>
      <c r="H4" s="338"/>
      <c r="I4" s="338"/>
    </row>
    <row r="5" spans="1:10" ht="30.75" customHeight="1" thickBot="1">
      <c r="B5" s="100"/>
      <c r="C5" s="364" t="s">
        <v>267</v>
      </c>
      <c r="D5" s="364"/>
      <c r="E5" s="364" t="s">
        <v>268</v>
      </c>
      <c r="F5" s="364"/>
      <c r="G5" s="364" t="s">
        <v>269</v>
      </c>
      <c r="H5" s="364"/>
      <c r="I5" s="158" t="s">
        <v>257</v>
      </c>
    </row>
    <row r="6" spans="1:10" ht="18" thickBot="1">
      <c r="A6" s="95" t="s">
        <v>284</v>
      </c>
      <c r="B6" s="38"/>
      <c r="C6" s="38" t="s">
        <v>247</v>
      </c>
      <c r="D6" s="38" t="s">
        <v>240</v>
      </c>
      <c r="E6" s="38" t="s">
        <v>247</v>
      </c>
      <c r="F6" s="38" t="s">
        <v>240</v>
      </c>
      <c r="G6" s="38" t="s">
        <v>247</v>
      </c>
      <c r="H6" s="38" t="s">
        <v>240</v>
      </c>
      <c r="I6" s="38" t="s">
        <v>247</v>
      </c>
    </row>
    <row r="7" spans="1:10" ht="17">
      <c r="A7" s="4" t="s">
        <v>271</v>
      </c>
      <c r="B7" s="101"/>
      <c r="C7" s="101"/>
      <c r="D7" s="101"/>
      <c r="E7" s="101"/>
      <c r="F7" s="101"/>
      <c r="G7" s="101"/>
      <c r="H7" s="101"/>
      <c r="I7" s="101"/>
    </row>
    <row r="8" spans="1:10" ht="34">
      <c r="A8" s="7" t="s">
        <v>272</v>
      </c>
      <c r="B8" s="7" t="s">
        <v>273</v>
      </c>
      <c r="C8" s="88">
        <v>225000</v>
      </c>
      <c r="D8" s="8">
        <v>73</v>
      </c>
      <c r="E8" s="88">
        <v>50000</v>
      </c>
      <c r="F8" s="8">
        <v>16</v>
      </c>
      <c r="G8" s="88">
        <v>35000</v>
      </c>
      <c r="H8" s="8">
        <v>11</v>
      </c>
      <c r="I8" s="102">
        <v>310000</v>
      </c>
    </row>
    <row r="9" spans="1:10" ht="17">
      <c r="A9" s="7" t="s">
        <v>274</v>
      </c>
      <c r="B9" s="7" t="s">
        <v>275</v>
      </c>
      <c r="C9" s="88">
        <v>75000</v>
      </c>
      <c r="D9" s="8">
        <v>62</v>
      </c>
      <c r="E9" s="88">
        <v>30000</v>
      </c>
      <c r="F9" s="8">
        <v>25</v>
      </c>
      <c r="G9" s="88">
        <v>16000</v>
      </c>
      <c r="H9" s="8">
        <v>13</v>
      </c>
      <c r="I9" s="102">
        <v>121000</v>
      </c>
    </row>
    <row r="10" spans="1:10" ht="17">
      <c r="A10" s="7" t="s">
        <v>77</v>
      </c>
      <c r="B10" s="7" t="s">
        <v>276</v>
      </c>
      <c r="C10" s="88">
        <v>75000</v>
      </c>
      <c r="D10" s="8">
        <v>49</v>
      </c>
      <c r="E10" s="88">
        <v>45164</v>
      </c>
      <c r="F10" s="8">
        <v>30</v>
      </c>
      <c r="G10" s="88">
        <v>32000</v>
      </c>
      <c r="H10" s="8">
        <v>21</v>
      </c>
      <c r="I10" s="102">
        <v>152164</v>
      </c>
    </row>
    <row r="11" spans="1:10" ht="19">
      <c r="A11" s="7" t="s">
        <v>285</v>
      </c>
      <c r="B11" s="7" t="s">
        <v>275</v>
      </c>
      <c r="C11" s="88">
        <v>31148</v>
      </c>
      <c r="D11" s="8">
        <v>60</v>
      </c>
      <c r="E11" s="88">
        <v>15574</v>
      </c>
      <c r="F11" s="8">
        <v>30</v>
      </c>
      <c r="G11" s="88">
        <v>5000</v>
      </c>
      <c r="H11" s="8">
        <v>10</v>
      </c>
      <c r="I11" s="102">
        <v>51722</v>
      </c>
    </row>
    <row r="12" spans="1:10" ht="17">
      <c r="A12" s="7" t="s">
        <v>81</v>
      </c>
      <c r="B12" s="7" t="s">
        <v>273</v>
      </c>
      <c r="C12" s="88">
        <v>75000</v>
      </c>
      <c r="D12" s="8">
        <v>50</v>
      </c>
      <c r="E12" s="88">
        <v>50000</v>
      </c>
      <c r="F12" s="8">
        <v>33</v>
      </c>
      <c r="G12" s="88">
        <v>25000</v>
      </c>
      <c r="H12" s="8">
        <v>17</v>
      </c>
      <c r="I12" s="102">
        <v>150000</v>
      </c>
    </row>
    <row r="13" spans="1:10" ht="17">
      <c r="A13" s="7" t="s">
        <v>84</v>
      </c>
      <c r="B13" s="7" t="s">
        <v>278</v>
      </c>
      <c r="C13" s="88">
        <v>75000</v>
      </c>
      <c r="D13" s="8">
        <v>62</v>
      </c>
      <c r="E13" s="88">
        <v>25000</v>
      </c>
      <c r="F13" s="8">
        <v>21</v>
      </c>
      <c r="G13" s="88">
        <v>21000</v>
      </c>
      <c r="H13" s="8">
        <v>17</v>
      </c>
      <c r="I13" s="102">
        <v>121000</v>
      </c>
    </row>
    <row r="14" spans="1:10" ht="17">
      <c r="A14" s="9" t="s">
        <v>279</v>
      </c>
      <c r="B14" s="7"/>
      <c r="C14" s="8"/>
      <c r="D14" s="8"/>
      <c r="E14" s="8"/>
      <c r="F14" s="8"/>
      <c r="G14" s="8"/>
      <c r="H14" s="8"/>
      <c r="I14" s="103"/>
    </row>
    <row r="15" spans="1:10" ht="34">
      <c r="A15" s="7" t="s">
        <v>280</v>
      </c>
      <c r="B15" s="7" t="s">
        <v>281</v>
      </c>
      <c r="C15" s="88">
        <v>150000</v>
      </c>
      <c r="D15" s="8">
        <v>72</v>
      </c>
      <c r="E15" s="88">
        <v>25000</v>
      </c>
      <c r="F15" s="8">
        <v>12</v>
      </c>
      <c r="G15" s="88">
        <v>34000</v>
      </c>
      <c r="H15" s="8">
        <v>16</v>
      </c>
      <c r="I15" s="102">
        <v>209000</v>
      </c>
    </row>
    <row r="16" spans="1:10" ht="17">
      <c r="A16" s="7" t="s">
        <v>74</v>
      </c>
      <c r="B16" s="7" t="s">
        <v>282</v>
      </c>
      <c r="C16" s="88">
        <v>75000</v>
      </c>
      <c r="D16" s="8">
        <v>62</v>
      </c>
      <c r="E16" s="88">
        <v>25000</v>
      </c>
      <c r="F16" s="8">
        <v>21</v>
      </c>
      <c r="G16" s="88">
        <v>21000</v>
      </c>
      <c r="H16" s="8">
        <v>17</v>
      </c>
      <c r="I16" s="102">
        <v>121000</v>
      </c>
    </row>
    <row r="17" spans="1:9" ht="17">
      <c r="A17" s="7" t="s">
        <v>76</v>
      </c>
      <c r="B17" s="7" t="s">
        <v>282</v>
      </c>
      <c r="C17" s="88">
        <v>75000</v>
      </c>
      <c r="D17" s="8">
        <v>65</v>
      </c>
      <c r="E17" s="88">
        <v>22500</v>
      </c>
      <c r="F17" s="8">
        <v>20</v>
      </c>
      <c r="G17" s="88">
        <v>18000</v>
      </c>
      <c r="H17" s="8">
        <v>16</v>
      </c>
      <c r="I17" s="102">
        <v>115500</v>
      </c>
    </row>
    <row r="18" spans="1:9" ht="17">
      <c r="A18" s="7" t="s">
        <v>82</v>
      </c>
      <c r="B18" s="7" t="s">
        <v>273</v>
      </c>
      <c r="C18" s="88">
        <v>75000</v>
      </c>
      <c r="D18" s="8">
        <v>56</v>
      </c>
      <c r="E18" s="88">
        <v>25000</v>
      </c>
      <c r="F18" s="8">
        <v>19</v>
      </c>
      <c r="G18" s="88">
        <v>33000</v>
      </c>
      <c r="H18" s="8">
        <v>25</v>
      </c>
      <c r="I18" s="102">
        <v>133000</v>
      </c>
    </row>
    <row r="19" spans="1:9" ht="17">
      <c r="A19" s="7" t="s">
        <v>83</v>
      </c>
      <c r="B19" s="7" t="s">
        <v>275</v>
      </c>
      <c r="C19" s="88">
        <v>75000</v>
      </c>
      <c r="D19" s="8">
        <v>79</v>
      </c>
      <c r="E19" s="88">
        <v>7500</v>
      </c>
      <c r="F19" s="8">
        <v>8</v>
      </c>
      <c r="G19" s="88">
        <v>13000</v>
      </c>
      <c r="H19" s="8">
        <v>14</v>
      </c>
      <c r="I19" s="102">
        <v>95500</v>
      </c>
    </row>
    <row r="20" spans="1:9" ht="17">
      <c r="A20" s="11" t="s">
        <v>85</v>
      </c>
      <c r="B20" s="11" t="s">
        <v>273</v>
      </c>
      <c r="C20" s="94">
        <v>75000</v>
      </c>
      <c r="D20" s="57">
        <v>65</v>
      </c>
      <c r="E20" s="94">
        <v>22500</v>
      </c>
      <c r="F20" s="57">
        <v>20</v>
      </c>
      <c r="G20" s="94">
        <v>18000</v>
      </c>
      <c r="H20" s="57">
        <v>16</v>
      </c>
      <c r="I20" s="90">
        <v>115500</v>
      </c>
    </row>
    <row r="21" spans="1:9" ht="32" customHeight="1">
      <c r="A21" s="353" t="s">
        <v>1061</v>
      </c>
      <c r="B21" s="353"/>
      <c r="C21" s="353"/>
      <c r="D21" s="353"/>
      <c r="E21" s="353"/>
      <c r="F21" s="353"/>
      <c r="G21" s="353"/>
      <c r="H21" s="353"/>
      <c r="I21" s="353"/>
    </row>
  </sheetData>
  <mergeCells count="7">
    <mergeCell ref="A2:I2"/>
    <mergeCell ref="A21:I21"/>
    <mergeCell ref="C5:D5"/>
    <mergeCell ref="E5:F5"/>
    <mergeCell ref="G5:H5"/>
    <mergeCell ref="A3:I3"/>
    <mergeCell ref="A4:I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48"/>
  <sheetViews>
    <sheetView showRuler="0" workbookViewId="0">
      <selection activeCell="A2" sqref="A2:F2"/>
    </sheetView>
  </sheetViews>
  <sheetFormatPr baseColWidth="10" defaultColWidth="12.83203125" defaultRowHeight="13"/>
  <cols>
    <col min="1" max="1" width="57.83203125" customWidth="1"/>
    <col min="2" max="5" width="22.33203125" customWidth="1"/>
    <col min="6" max="6" width="23.6640625" customWidth="1"/>
  </cols>
  <sheetData>
    <row r="1" spans="1:6" ht="14">
      <c r="A1" s="301" t="str">
        <f>HYPERLINK("#'Index'!A1","Back to index")</f>
        <v>Back to index</v>
      </c>
      <c r="F1" s="1"/>
    </row>
    <row r="2" spans="1:6" ht="25.75" customHeight="1">
      <c r="A2" s="315" t="s">
        <v>63</v>
      </c>
      <c r="B2" s="315"/>
      <c r="C2" s="315"/>
      <c r="D2" s="315"/>
      <c r="E2" s="315"/>
      <c r="F2" s="315"/>
    </row>
    <row r="3" spans="1:6" ht="22.5" customHeight="1">
      <c r="A3" s="317" t="s">
        <v>14</v>
      </c>
      <c r="B3" s="316"/>
      <c r="C3" s="316"/>
      <c r="D3" s="316"/>
      <c r="E3" s="316"/>
      <c r="F3" s="37"/>
    </row>
    <row r="4" spans="1:6">
      <c r="A4" s="338"/>
      <c r="B4" s="338"/>
      <c r="C4" s="338"/>
      <c r="D4" s="338"/>
      <c r="E4" s="338"/>
      <c r="F4" s="338"/>
    </row>
    <row r="5" spans="1:6" ht="51">
      <c r="A5" s="15"/>
      <c r="B5" s="39" t="s">
        <v>286</v>
      </c>
      <c r="C5" s="38" t="s">
        <v>287</v>
      </c>
      <c r="D5" s="38" t="s">
        <v>288</v>
      </c>
      <c r="E5" s="38" t="s">
        <v>289</v>
      </c>
      <c r="F5" s="38" t="s">
        <v>290</v>
      </c>
    </row>
    <row r="6" spans="1:6" ht="17">
      <c r="A6" s="4" t="s">
        <v>291</v>
      </c>
      <c r="B6" s="45"/>
      <c r="C6" s="5"/>
      <c r="D6" s="5"/>
      <c r="E6" s="5"/>
      <c r="F6" s="5"/>
    </row>
    <row r="7" spans="1:6" ht="17">
      <c r="A7" s="7" t="s">
        <v>292</v>
      </c>
      <c r="B7" s="67">
        <v>161</v>
      </c>
      <c r="C7" s="104">
        <v>17</v>
      </c>
      <c r="D7" s="104">
        <v>-2</v>
      </c>
      <c r="E7" s="104">
        <v>12</v>
      </c>
      <c r="F7" s="104">
        <v>-46</v>
      </c>
    </row>
    <row r="8" spans="1:6" ht="34">
      <c r="A8" s="7" t="s">
        <v>293</v>
      </c>
      <c r="B8" s="67">
        <v>355</v>
      </c>
      <c r="C8" s="104">
        <v>-14</v>
      </c>
      <c r="D8" s="104">
        <v>18</v>
      </c>
      <c r="E8" s="104">
        <v>-35</v>
      </c>
      <c r="F8" s="104">
        <v>54</v>
      </c>
    </row>
    <row r="9" spans="1:6" ht="17">
      <c r="A9" s="9" t="s">
        <v>294</v>
      </c>
      <c r="B9" s="47"/>
      <c r="C9" s="8"/>
      <c r="D9" s="8"/>
      <c r="E9" s="8"/>
      <c r="F9" s="8"/>
    </row>
    <row r="10" spans="1:6" ht="34">
      <c r="A10" s="7" t="s">
        <v>295</v>
      </c>
      <c r="B10" s="67">
        <v>86328</v>
      </c>
      <c r="C10" s="104">
        <v>3</v>
      </c>
      <c r="D10" s="104">
        <v>-1</v>
      </c>
      <c r="E10" s="104">
        <v>4</v>
      </c>
      <c r="F10" s="104">
        <v>4</v>
      </c>
    </row>
    <row r="11" spans="1:6" ht="17">
      <c r="A11" s="9" t="s">
        <v>296</v>
      </c>
      <c r="B11" s="47"/>
      <c r="C11" s="8"/>
      <c r="D11" s="8"/>
      <c r="E11" s="8"/>
      <c r="F11" s="8"/>
    </row>
    <row r="12" spans="1:6" ht="17">
      <c r="A12" s="81" t="s">
        <v>297</v>
      </c>
      <c r="B12" s="47"/>
      <c r="C12" s="8"/>
      <c r="D12" s="8"/>
      <c r="E12" s="8"/>
      <c r="F12" s="8"/>
    </row>
    <row r="13" spans="1:6" ht="19">
      <c r="A13" s="81" t="s">
        <v>298</v>
      </c>
      <c r="B13" s="67">
        <v>1296603</v>
      </c>
      <c r="C13" s="104">
        <v>1019</v>
      </c>
      <c r="D13" s="104">
        <v>0</v>
      </c>
      <c r="E13" s="104">
        <v>0</v>
      </c>
      <c r="F13" s="104">
        <v>0</v>
      </c>
    </row>
    <row r="14" spans="1:6" ht="17">
      <c r="A14" s="81" t="s">
        <v>299</v>
      </c>
      <c r="B14" s="67">
        <v>1166984</v>
      </c>
      <c r="C14" s="104">
        <v>0</v>
      </c>
      <c r="D14" s="104">
        <v>0</v>
      </c>
      <c r="E14" s="104">
        <v>0</v>
      </c>
      <c r="F14" s="104">
        <v>0</v>
      </c>
    </row>
    <row r="15" spans="1:6" ht="17">
      <c r="A15" s="81" t="s">
        <v>300</v>
      </c>
      <c r="B15" s="67">
        <v>1009395</v>
      </c>
      <c r="C15" s="104">
        <v>4</v>
      </c>
      <c r="D15" s="104">
        <v>60</v>
      </c>
      <c r="E15" s="104">
        <v>0</v>
      </c>
      <c r="F15" s="104">
        <v>0</v>
      </c>
    </row>
    <row r="16" spans="1:6" ht="19">
      <c r="A16" s="81" t="s">
        <v>301</v>
      </c>
      <c r="B16" s="67">
        <v>884645</v>
      </c>
      <c r="C16" s="104">
        <v>1012</v>
      </c>
      <c r="D16" s="104">
        <v>0</v>
      </c>
      <c r="E16" s="104">
        <v>0</v>
      </c>
      <c r="F16" s="104">
        <v>0</v>
      </c>
    </row>
    <row r="17" spans="1:6" ht="17">
      <c r="A17" s="9" t="s">
        <v>302</v>
      </c>
      <c r="B17" s="47"/>
      <c r="C17" s="8"/>
      <c r="D17" s="8"/>
      <c r="E17" s="8"/>
      <c r="F17" s="8"/>
    </row>
    <row r="18" spans="1:6" ht="17">
      <c r="A18" s="81" t="s">
        <v>303</v>
      </c>
      <c r="B18" s="67">
        <v>873033</v>
      </c>
      <c r="C18" s="104">
        <v>-86</v>
      </c>
      <c r="D18" s="104">
        <v>464</v>
      </c>
      <c r="E18" s="104">
        <v>-49</v>
      </c>
      <c r="F18" s="104">
        <v>36</v>
      </c>
    </row>
    <row r="19" spans="1:6" ht="17">
      <c r="A19" s="81" t="s">
        <v>304</v>
      </c>
      <c r="B19" s="67">
        <v>587313</v>
      </c>
      <c r="C19" s="104">
        <v>-82</v>
      </c>
      <c r="D19" s="104">
        <v>334</v>
      </c>
      <c r="E19" s="104">
        <v>-48</v>
      </c>
      <c r="F19" s="104">
        <v>7</v>
      </c>
    </row>
    <row r="20" spans="1:6" ht="17">
      <c r="A20" s="81" t="s">
        <v>305</v>
      </c>
      <c r="B20" s="67">
        <v>587313</v>
      </c>
      <c r="C20" s="104">
        <v>-85</v>
      </c>
      <c r="D20" s="104">
        <v>406</v>
      </c>
      <c r="E20" s="104">
        <v>-24</v>
      </c>
      <c r="F20" s="104">
        <v>8</v>
      </c>
    </row>
    <row r="21" spans="1:6" ht="17">
      <c r="A21" s="81" t="s">
        <v>264</v>
      </c>
      <c r="B21" s="67">
        <v>93323</v>
      </c>
      <c r="C21" s="104">
        <v>4</v>
      </c>
      <c r="D21" s="104">
        <v>0</v>
      </c>
      <c r="E21" s="104">
        <v>-90</v>
      </c>
      <c r="F21" s="104">
        <v>859</v>
      </c>
    </row>
    <row r="22" spans="1:6" ht="17">
      <c r="A22" s="81" t="s">
        <v>265</v>
      </c>
      <c r="B22" s="67">
        <v>116736</v>
      </c>
      <c r="C22" s="104">
        <v>0</v>
      </c>
      <c r="D22" s="104">
        <v>12</v>
      </c>
      <c r="E22" s="104">
        <v>4</v>
      </c>
      <c r="F22" s="104">
        <v>-83</v>
      </c>
    </row>
    <row r="23" spans="1:6" ht="17">
      <c r="A23" s="9" t="s">
        <v>306</v>
      </c>
      <c r="B23" s="47"/>
      <c r="C23" s="8"/>
      <c r="D23" s="8"/>
      <c r="E23" s="8"/>
      <c r="F23" s="8"/>
    </row>
    <row r="24" spans="1:6" ht="17">
      <c r="A24" s="9" t="s">
        <v>271</v>
      </c>
      <c r="B24" s="47"/>
      <c r="C24" s="8"/>
      <c r="D24" s="8"/>
      <c r="E24" s="8"/>
      <c r="F24" s="8"/>
    </row>
    <row r="25" spans="1:6" ht="34">
      <c r="A25" s="81" t="s">
        <v>307</v>
      </c>
      <c r="B25" s="67">
        <v>283000</v>
      </c>
      <c r="C25" s="104">
        <v>-9</v>
      </c>
      <c r="D25" s="104">
        <v>7</v>
      </c>
      <c r="E25" s="104">
        <v>2</v>
      </c>
      <c r="F25" s="104">
        <v>0</v>
      </c>
    </row>
    <row r="26" spans="1:6" ht="17">
      <c r="A26" s="81" t="s">
        <v>308</v>
      </c>
      <c r="B26" s="67">
        <v>116000</v>
      </c>
      <c r="C26" s="104">
        <v>-4</v>
      </c>
      <c r="D26" s="104">
        <v>70</v>
      </c>
      <c r="E26" s="104">
        <v>0</v>
      </c>
      <c r="F26" s="104">
        <v>0</v>
      </c>
    </row>
    <row r="27" spans="1:6" ht="17">
      <c r="A27" s="81" t="s">
        <v>309</v>
      </c>
      <c r="B27" s="67">
        <v>111000</v>
      </c>
      <c r="C27" s="104">
        <v>-27</v>
      </c>
      <c r="D27" s="104">
        <v>30</v>
      </c>
      <c r="E27" s="104">
        <v>5</v>
      </c>
      <c r="F27" s="104">
        <v>0</v>
      </c>
    </row>
    <row r="28" spans="1:6" ht="19">
      <c r="A28" s="81" t="s">
        <v>310</v>
      </c>
      <c r="B28" s="67">
        <v>121500</v>
      </c>
      <c r="C28" s="104">
        <v>135</v>
      </c>
      <c r="D28" s="104">
        <v>-32</v>
      </c>
      <c r="E28" s="104">
        <v>0</v>
      </c>
      <c r="F28" s="104">
        <v>0</v>
      </c>
    </row>
    <row r="29" spans="1:6" ht="17">
      <c r="A29" s="81" t="s">
        <v>311</v>
      </c>
      <c r="B29" s="67">
        <v>135000</v>
      </c>
      <c r="C29" s="104">
        <v>-10</v>
      </c>
      <c r="D29" s="104">
        <v>9</v>
      </c>
      <c r="E29" s="104">
        <v>2</v>
      </c>
      <c r="F29" s="104">
        <v>-1</v>
      </c>
    </row>
    <row r="30" spans="1:6" ht="17">
      <c r="A30" s="81" t="s">
        <v>312</v>
      </c>
      <c r="B30" s="67">
        <v>114000</v>
      </c>
      <c r="C30" s="104">
        <v>-6</v>
      </c>
      <c r="D30" s="104">
        <v>6</v>
      </c>
      <c r="E30" s="104">
        <v>13</v>
      </c>
      <c r="F30" s="104">
        <v>0</v>
      </c>
    </row>
    <row r="31" spans="1:6" ht="17">
      <c r="A31" s="9" t="s">
        <v>279</v>
      </c>
      <c r="B31" s="47"/>
      <c r="C31" s="8"/>
      <c r="D31" s="8"/>
      <c r="E31" s="8"/>
      <c r="F31" s="8"/>
    </row>
    <row r="32" spans="1:6" ht="34">
      <c r="A32" s="81" t="s">
        <v>313</v>
      </c>
      <c r="B32" s="67">
        <v>185000</v>
      </c>
      <c r="C32" s="104">
        <v>-11</v>
      </c>
      <c r="D32" s="104">
        <v>28</v>
      </c>
      <c r="E32" s="104">
        <v>46</v>
      </c>
      <c r="F32" s="104">
        <v>-1</v>
      </c>
    </row>
    <row r="33" spans="1:6" ht="17">
      <c r="A33" s="81" t="s">
        <v>314</v>
      </c>
      <c r="B33" s="67">
        <v>114000</v>
      </c>
      <c r="C33" s="104">
        <v>-6</v>
      </c>
      <c r="D33" s="104">
        <v>9</v>
      </c>
      <c r="E33" s="104">
        <v>14</v>
      </c>
      <c r="F33" s="104">
        <v>0</v>
      </c>
    </row>
    <row r="34" spans="1:6" ht="17">
      <c r="A34" s="81" t="s">
        <v>315</v>
      </c>
      <c r="B34" s="67">
        <v>110500</v>
      </c>
      <c r="C34" s="104">
        <v>-4</v>
      </c>
      <c r="D34" s="104">
        <v>1</v>
      </c>
      <c r="E34" s="104">
        <v>2</v>
      </c>
      <c r="F34" s="104">
        <v>12</v>
      </c>
    </row>
    <row r="35" spans="1:6" ht="17">
      <c r="A35" s="81" t="s">
        <v>316</v>
      </c>
      <c r="B35" s="67">
        <v>108500</v>
      </c>
      <c r="C35" s="104">
        <v>-18</v>
      </c>
      <c r="D35" s="104">
        <v>21</v>
      </c>
      <c r="E35" s="104">
        <v>9</v>
      </c>
      <c r="F35" s="104">
        <v>0</v>
      </c>
    </row>
    <row r="36" spans="1:6" ht="17">
      <c r="A36" s="81" t="s">
        <v>317</v>
      </c>
      <c r="B36" s="67">
        <v>92500</v>
      </c>
      <c r="C36" s="104">
        <v>-3</v>
      </c>
      <c r="D36" s="104">
        <v>67</v>
      </c>
      <c r="E36" s="104">
        <v>0</v>
      </c>
      <c r="F36" s="104">
        <v>0</v>
      </c>
    </row>
    <row r="37" spans="1:6" ht="17">
      <c r="A37" s="105" t="s">
        <v>318</v>
      </c>
      <c r="B37" s="68">
        <v>110500</v>
      </c>
      <c r="C37" s="106">
        <v>-4</v>
      </c>
      <c r="D37" s="106">
        <v>-19</v>
      </c>
      <c r="E37" s="106">
        <v>-24</v>
      </c>
      <c r="F37" s="106">
        <v>0</v>
      </c>
    </row>
    <row r="38" spans="1:6" ht="47" customHeight="1">
      <c r="A38" s="319" t="s">
        <v>1062</v>
      </c>
      <c r="B38" s="319"/>
      <c r="C38" s="319"/>
      <c r="D38" s="319"/>
      <c r="E38" s="319"/>
      <c r="F38" s="319"/>
    </row>
    <row r="39" spans="1:6">
      <c r="F39" s="1"/>
    </row>
    <row r="40" spans="1:6">
      <c r="F40" s="1"/>
    </row>
    <row r="41" spans="1:6">
      <c r="F41" s="1"/>
    </row>
    <row r="42" spans="1:6">
      <c r="F42" s="1"/>
    </row>
    <row r="43" spans="1:6">
      <c r="F43" s="1"/>
    </row>
    <row r="44" spans="1:6">
      <c r="F44" s="1"/>
    </row>
    <row r="45" spans="1:6">
      <c r="F45" s="1"/>
    </row>
    <row r="46" spans="1:6">
      <c r="F46" s="1"/>
    </row>
    <row r="47" spans="1:6">
      <c r="F47" s="1"/>
    </row>
    <row r="48" spans="1:6">
      <c r="F48" s="1"/>
    </row>
  </sheetData>
  <mergeCells count="4">
    <mergeCell ref="A3:E3"/>
    <mergeCell ref="A38:F38"/>
    <mergeCell ref="A2:F2"/>
    <mergeCell ref="A4:F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4"/>
  <sheetViews>
    <sheetView showRuler="0" zoomScaleNormal="100" workbookViewId="0"/>
  </sheetViews>
  <sheetFormatPr baseColWidth="10" defaultColWidth="12.83203125" defaultRowHeight="13"/>
  <cols>
    <col min="1" max="1" width="76.5" customWidth="1"/>
    <col min="2" max="3" width="41.5" customWidth="1"/>
  </cols>
  <sheetData>
    <row r="1" spans="1:3" ht="15.75" customHeight="1">
      <c r="A1" s="301" t="str">
        <f>HYPERLINK("#'Index'!A1","Back to index")</f>
        <v>Back to index</v>
      </c>
    </row>
    <row r="2" spans="1:3" ht="25.75" customHeight="1">
      <c r="A2" s="315" t="s">
        <v>63</v>
      </c>
      <c r="B2" s="316"/>
      <c r="C2" s="316"/>
    </row>
    <row r="3" spans="1:3" ht="22.5" customHeight="1">
      <c r="A3" s="317" t="s">
        <v>1</v>
      </c>
      <c r="B3" s="316"/>
      <c r="C3" s="316"/>
    </row>
    <row r="4" spans="1:3" ht="17.5" customHeight="1">
      <c r="B4" s="12"/>
      <c r="C4" s="13"/>
    </row>
    <row r="5" spans="1:3" ht="15" customHeight="1" thickBot="1">
      <c r="A5" s="14"/>
      <c r="B5" s="3" t="s">
        <v>65</v>
      </c>
      <c r="C5" s="3" t="s">
        <v>66</v>
      </c>
    </row>
    <row r="6" spans="1:3" ht="65.75" customHeight="1">
      <c r="A6" s="4" t="s">
        <v>67</v>
      </c>
      <c r="B6" s="321" t="s">
        <v>68</v>
      </c>
      <c r="C6" s="321"/>
    </row>
    <row r="7" spans="1:3" ht="15" customHeight="1">
      <c r="A7" s="7" t="s">
        <v>69</v>
      </c>
      <c r="B7" s="8" t="s">
        <v>70</v>
      </c>
      <c r="C7" s="8" t="s">
        <v>71</v>
      </c>
    </row>
    <row r="8" spans="1:3" ht="15" customHeight="1">
      <c r="A8" s="7" t="s">
        <v>72</v>
      </c>
      <c r="B8" s="8" t="s">
        <v>1027</v>
      </c>
      <c r="C8" s="8" t="s">
        <v>73</v>
      </c>
    </row>
    <row r="9" spans="1:3" ht="15" customHeight="1">
      <c r="A9" s="7" t="s">
        <v>74</v>
      </c>
      <c r="B9" s="8" t="s">
        <v>70</v>
      </c>
      <c r="C9" s="8" t="s">
        <v>71</v>
      </c>
    </row>
    <row r="10" spans="1:3" ht="15" customHeight="1">
      <c r="A10" s="7" t="s">
        <v>75</v>
      </c>
      <c r="B10" s="8" t="s">
        <v>70</v>
      </c>
      <c r="C10" s="8" t="s">
        <v>71</v>
      </c>
    </row>
    <row r="11" spans="1:3" ht="15" customHeight="1">
      <c r="A11" s="7" t="s">
        <v>76</v>
      </c>
      <c r="B11" s="8" t="s">
        <v>70</v>
      </c>
      <c r="C11" s="8" t="s">
        <v>71</v>
      </c>
    </row>
    <row r="12" spans="1:3" ht="15" customHeight="1">
      <c r="A12" s="7" t="s">
        <v>77</v>
      </c>
      <c r="B12" s="8" t="s">
        <v>78</v>
      </c>
      <c r="C12" s="8" t="s">
        <v>79</v>
      </c>
    </row>
    <row r="13" spans="1:3" ht="15" customHeight="1">
      <c r="A13" s="7" t="s">
        <v>80</v>
      </c>
      <c r="B13" s="8" t="s">
        <v>70</v>
      </c>
      <c r="C13" s="8" t="s">
        <v>71</v>
      </c>
    </row>
    <row r="14" spans="1:3" ht="15" customHeight="1">
      <c r="A14" s="7" t="s">
        <v>81</v>
      </c>
      <c r="B14" s="8" t="s">
        <v>70</v>
      </c>
      <c r="C14" s="8" t="s">
        <v>71</v>
      </c>
    </row>
    <row r="15" spans="1:3" ht="15" customHeight="1">
      <c r="A15" s="7" t="s">
        <v>82</v>
      </c>
      <c r="B15" s="8" t="s">
        <v>70</v>
      </c>
      <c r="C15" s="8" t="s">
        <v>71</v>
      </c>
    </row>
    <row r="16" spans="1:3" ht="15" customHeight="1">
      <c r="A16" s="7" t="s">
        <v>83</v>
      </c>
      <c r="B16" s="8" t="s">
        <v>70</v>
      </c>
      <c r="C16" s="8" t="s">
        <v>71</v>
      </c>
    </row>
    <row r="17" spans="1:3" ht="15" customHeight="1">
      <c r="A17" s="7" t="s">
        <v>84</v>
      </c>
      <c r="B17" s="8" t="s">
        <v>70</v>
      </c>
      <c r="C17" s="8" t="s">
        <v>71</v>
      </c>
    </row>
    <row r="18" spans="1:3" ht="15" customHeight="1">
      <c r="A18" s="7" t="s">
        <v>85</v>
      </c>
      <c r="B18" s="8" t="s">
        <v>70</v>
      </c>
      <c r="C18" s="8" t="s">
        <v>71</v>
      </c>
    </row>
    <row r="19" spans="1:3" ht="30.75" customHeight="1">
      <c r="A19" s="9" t="s">
        <v>1028</v>
      </c>
      <c r="B19" s="8" t="s">
        <v>86</v>
      </c>
      <c r="C19" s="7"/>
    </row>
    <row r="20" spans="1:3" ht="30.75" customHeight="1">
      <c r="A20" s="7" t="s">
        <v>87</v>
      </c>
      <c r="B20" s="8" t="s">
        <v>88</v>
      </c>
      <c r="C20" s="8" t="s">
        <v>89</v>
      </c>
    </row>
    <row r="21" spans="1:3" ht="15" customHeight="1">
      <c r="A21" s="7" t="s">
        <v>90</v>
      </c>
      <c r="B21" s="8" t="s">
        <v>91</v>
      </c>
      <c r="C21" s="8" t="s">
        <v>92</v>
      </c>
    </row>
    <row r="22" spans="1:3" ht="15" customHeight="1">
      <c r="A22" s="7" t="s">
        <v>74</v>
      </c>
      <c r="B22" s="8" t="s">
        <v>88</v>
      </c>
      <c r="C22" s="8" t="s">
        <v>71</v>
      </c>
    </row>
    <row r="23" spans="1:3" ht="15" customHeight="1">
      <c r="A23" s="7" t="s">
        <v>76</v>
      </c>
      <c r="B23" s="8" t="s">
        <v>88</v>
      </c>
      <c r="C23" s="8" t="s">
        <v>71</v>
      </c>
    </row>
    <row r="24" spans="1:3" ht="15" customHeight="1">
      <c r="A24" s="7" t="s">
        <v>93</v>
      </c>
      <c r="B24" s="8" t="s">
        <v>1033</v>
      </c>
      <c r="C24" s="8" t="s">
        <v>92</v>
      </c>
    </row>
    <row r="25" spans="1:3" ht="15" customHeight="1">
      <c r="A25" s="7" t="s">
        <v>84</v>
      </c>
      <c r="B25" s="8" t="s">
        <v>88</v>
      </c>
      <c r="C25" s="8" t="s">
        <v>71</v>
      </c>
    </row>
    <row r="26" spans="1:3" ht="15" customHeight="1">
      <c r="A26" s="7" t="s">
        <v>85</v>
      </c>
      <c r="B26" s="8" t="s">
        <v>88</v>
      </c>
      <c r="C26" s="8" t="s">
        <v>71</v>
      </c>
    </row>
    <row r="27" spans="1:3" ht="15" customHeight="1">
      <c r="A27" s="7" t="s">
        <v>94</v>
      </c>
      <c r="B27" s="8" t="s">
        <v>88</v>
      </c>
      <c r="C27" s="8" t="s">
        <v>71</v>
      </c>
    </row>
    <row r="28" spans="1:3" ht="30.75" customHeight="1">
      <c r="A28" s="9" t="s">
        <v>1029</v>
      </c>
      <c r="B28" s="8" t="s">
        <v>95</v>
      </c>
      <c r="C28" s="7"/>
    </row>
    <row r="29" spans="1:3" ht="30.75" customHeight="1">
      <c r="A29" s="7" t="s">
        <v>96</v>
      </c>
      <c r="B29" s="8" t="s">
        <v>97</v>
      </c>
      <c r="C29" s="8" t="s">
        <v>71</v>
      </c>
    </row>
    <row r="30" spans="1:3" ht="15" customHeight="1">
      <c r="A30" s="7" t="s">
        <v>98</v>
      </c>
      <c r="B30" s="8" t="s">
        <v>97</v>
      </c>
      <c r="C30" s="8" t="s">
        <v>71</v>
      </c>
    </row>
    <row r="31" spans="1:3" ht="15" customHeight="1">
      <c r="A31" s="7" t="s">
        <v>75</v>
      </c>
      <c r="B31" s="8" t="s">
        <v>97</v>
      </c>
      <c r="C31" s="8" t="s">
        <v>71</v>
      </c>
    </row>
    <row r="32" spans="1:3" ht="15" customHeight="1">
      <c r="A32" s="7" t="s">
        <v>99</v>
      </c>
      <c r="B32" s="8" t="s">
        <v>1032</v>
      </c>
      <c r="C32" s="8" t="s">
        <v>100</v>
      </c>
    </row>
    <row r="33" spans="1:3" ht="15" customHeight="1">
      <c r="A33" s="7" t="s">
        <v>101</v>
      </c>
      <c r="B33" s="8" t="s">
        <v>97</v>
      </c>
      <c r="C33" s="8" t="s">
        <v>71</v>
      </c>
    </row>
    <row r="34" spans="1:3" ht="15" customHeight="1">
      <c r="A34" s="7" t="s">
        <v>102</v>
      </c>
      <c r="B34" s="8" t="s">
        <v>97</v>
      </c>
      <c r="C34" s="8" t="s">
        <v>71</v>
      </c>
    </row>
    <row r="35" spans="1:3" ht="42.5" customHeight="1">
      <c r="A35" s="9" t="s">
        <v>103</v>
      </c>
      <c r="B35" s="8" t="s">
        <v>104</v>
      </c>
      <c r="C35" s="7"/>
    </row>
    <row r="36" spans="1:3" ht="15" customHeight="1">
      <c r="A36" s="7" t="s">
        <v>105</v>
      </c>
      <c r="B36" s="8" t="s">
        <v>106</v>
      </c>
      <c r="C36" s="8" t="s">
        <v>71</v>
      </c>
    </row>
    <row r="37" spans="1:3" ht="15" customHeight="1">
      <c r="A37" s="7" t="s">
        <v>107</v>
      </c>
      <c r="B37" s="8" t="s">
        <v>106</v>
      </c>
      <c r="C37" s="8" t="s">
        <v>71</v>
      </c>
    </row>
    <row r="38" spans="1:3" ht="15" customHeight="1">
      <c r="A38" s="7" t="s">
        <v>90</v>
      </c>
      <c r="B38" s="8" t="s">
        <v>106</v>
      </c>
      <c r="C38" s="8" t="s">
        <v>71</v>
      </c>
    </row>
    <row r="39" spans="1:3" ht="15" customHeight="1">
      <c r="A39" s="7" t="s">
        <v>108</v>
      </c>
      <c r="B39" s="8" t="s">
        <v>106</v>
      </c>
      <c r="C39" s="8" t="s">
        <v>71</v>
      </c>
    </row>
    <row r="40" spans="1:3" ht="15" customHeight="1">
      <c r="A40" s="7" t="s">
        <v>109</v>
      </c>
      <c r="B40" s="8" t="s">
        <v>106</v>
      </c>
      <c r="C40" s="8" t="s">
        <v>71</v>
      </c>
    </row>
    <row r="41" spans="1:3" ht="15" customHeight="1">
      <c r="A41" s="7" t="s">
        <v>110</v>
      </c>
      <c r="B41" s="8" t="s">
        <v>106</v>
      </c>
      <c r="C41" s="8" t="s">
        <v>71</v>
      </c>
    </row>
    <row r="42" spans="1:3" ht="30.75" customHeight="1">
      <c r="A42" s="9" t="s">
        <v>1030</v>
      </c>
      <c r="B42" s="318" t="s">
        <v>111</v>
      </c>
      <c r="C42" s="318"/>
    </row>
    <row r="43" spans="1:3" ht="30.75" customHeight="1">
      <c r="A43" s="10" t="s">
        <v>1031</v>
      </c>
      <c r="B43" s="320" t="s">
        <v>112</v>
      </c>
      <c r="C43" s="320"/>
    </row>
    <row r="44" spans="1:3" ht="15.75" customHeight="1">
      <c r="A44" s="319" t="s">
        <v>1046</v>
      </c>
      <c r="B44" s="319"/>
      <c r="C44" s="319"/>
    </row>
  </sheetData>
  <mergeCells count="6">
    <mergeCell ref="A2:C2"/>
    <mergeCell ref="A3:C3"/>
    <mergeCell ref="B42:C42"/>
    <mergeCell ref="A44:C44"/>
    <mergeCell ref="B43:C43"/>
    <mergeCell ref="B6:C6"/>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49"/>
  <sheetViews>
    <sheetView showRuler="0" zoomScaleNormal="100" workbookViewId="0">
      <selection activeCell="A2" sqref="A2:G2"/>
    </sheetView>
  </sheetViews>
  <sheetFormatPr baseColWidth="10" defaultColWidth="12.83203125" defaultRowHeight="13"/>
  <cols>
    <col min="1" max="1" width="56.5" customWidth="1"/>
    <col min="2" max="7" width="17" customWidth="1"/>
  </cols>
  <sheetData>
    <row r="1" spans="1:7" ht="15.75" customHeight="1">
      <c r="A1" s="301" t="str">
        <f>HYPERLINK("#'Index'!A1","Back to index")</f>
        <v>Back to index</v>
      </c>
    </row>
    <row r="2" spans="1:7" ht="25.75" customHeight="1">
      <c r="A2" s="315" t="s">
        <v>63</v>
      </c>
      <c r="B2" s="316"/>
      <c r="C2" s="316"/>
      <c r="D2" s="316"/>
      <c r="E2" s="316"/>
      <c r="F2" s="316"/>
      <c r="G2" s="316"/>
    </row>
    <row r="3" spans="1:7" ht="22.5" customHeight="1">
      <c r="A3" s="317" t="s">
        <v>15</v>
      </c>
      <c r="B3" s="316"/>
      <c r="C3" s="316"/>
      <c r="D3" s="316"/>
      <c r="E3" s="316"/>
      <c r="F3" s="316"/>
      <c r="G3" s="316"/>
    </row>
    <row r="4" spans="1:7" ht="17.5" customHeight="1">
      <c r="A4" s="338"/>
      <c r="B4" s="338"/>
      <c r="C4" s="338"/>
      <c r="D4" s="338"/>
      <c r="E4" s="338"/>
      <c r="F4" s="338"/>
      <c r="G4" s="338"/>
    </row>
    <row r="5" spans="1:7" ht="15" customHeight="1">
      <c r="C5" s="39" t="s">
        <v>64</v>
      </c>
      <c r="D5" s="38" t="s">
        <v>246</v>
      </c>
      <c r="E5" s="38" t="s">
        <v>319</v>
      </c>
      <c r="F5" s="38" t="s">
        <v>320</v>
      </c>
      <c r="G5" s="38" t="s">
        <v>321</v>
      </c>
    </row>
    <row r="6" spans="1:7" ht="18" customHeight="1">
      <c r="A6" s="6" t="s">
        <v>1008</v>
      </c>
      <c r="B6" s="5" t="s">
        <v>322</v>
      </c>
      <c r="C6" s="107">
        <v>106.2</v>
      </c>
      <c r="D6" s="108">
        <v>65.849999999999994</v>
      </c>
      <c r="E6" s="108">
        <v>70.14</v>
      </c>
      <c r="F6" s="108">
        <v>53.98</v>
      </c>
      <c r="G6" s="108">
        <v>65.38</v>
      </c>
    </row>
    <row r="7" spans="1:7" ht="18" customHeight="1">
      <c r="A7" s="7" t="s">
        <v>1009</v>
      </c>
      <c r="B7" s="8" t="s">
        <v>322</v>
      </c>
      <c r="C7" s="109">
        <v>106.6</v>
      </c>
      <c r="D7" s="110">
        <v>82.5</v>
      </c>
      <c r="E7" s="110">
        <v>101.4</v>
      </c>
      <c r="F7" s="110">
        <v>116.3</v>
      </c>
      <c r="G7" s="110">
        <v>87.3</v>
      </c>
    </row>
    <row r="8" spans="1:7" ht="18" customHeight="1">
      <c r="A8" s="7" t="s">
        <v>1011</v>
      </c>
      <c r="B8" s="8" t="s">
        <v>322</v>
      </c>
      <c r="C8" s="109">
        <v>62.85</v>
      </c>
      <c r="D8" s="110">
        <v>57.36</v>
      </c>
      <c r="E8" s="110">
        <v>53.5</v>
      </c>
      <c r="F8" s="110">
        <v>53</v>
      </c>
      <c r="G8" s="110">
        <v>54.94</v>
      </c>
    </row>
    <row r="9" spans="1:7" ht="18" customHeight="1">
      <c r="A9" s="7" t="s">
        <v>1010</v>
      </c>
      <c r="B9" s="8" t="s">
        <v>323</v>
      </c>
      <c r="C9" s="67">
        <v>4774</v>
      </c>
      <c r="D9" s="88">
        <v>2960</v>
      </c>
      <c r="E9" s="88">
        <v>3153</v>
      </c>
      <c r="F9" s="88">
        <v>2427</v>
      </c>
      <c r="G9" s="88">
        <v>2939</v>
      </c>
    </row>
    <row r="10" spans="1:7" ht="18" customHeight="1">
      <c r="A10" s="7" t="s">
        <v>324</v>
      </c>
      <c r="B10" s="8" t="s">
        <v>325</v>
      </c>
      <c r="C10" s="109">
        <v>44956.7</v>
      </c>
      <c r="D10" s="110">
        <v>44956.7</v>
      </c>
      <c r="E10" s="110">
        <v>44956.7</v>
      </c>
      <c r="F10" s="110">
        <v>44956.7</v>
      </c>
      <c r="G10" s="110">
        <v>44956.7</v>
      </c>
    </row>
    <row r="11" spans="1:7" ht="18" customHeight="1">
      <c r="A11" s="7" t="s">
        <v>326</v>
      </c>
      <c r="B11" s="8" t="s">
        <v>322</v>
      </c>
      <c r="C11" s="109">
        <v>1.6</v>
      </c>
      <c r="D11" s="110">
        <v>1.5</v>
      </c>
      <c r="E11" s="110">
        <v>1.4</v>
      </c>
      <c r="F11" s="110">
        <v>1.8</v>
      </c>
      <c r="G11" s="110">
        <v>1.6</v>
      </c>
    </row>
    <row r="12" spans="1:7" ht="18" customHeight="1">
      <c r="A12" s="7" t="s">
        <v>327</v>
      </c>
      <c r="B12" s="8" t="s">
        <v>328</v>
      </c>
      <c r="C12" s="47">
        <v>27</v>
      </c>
      <c r="D12" s="8">
        <v>20</v>
      </c>
      <c r="E12" s="8">
        <v>23</v>
      </c>
      <c r="F12" s="8">
        <v>18</v>
      </c>
      <c r="G12" s="8">
        <v>26</v>
      </c>
    </row>
    <row r="13" spans="1:7" ht="18" customHeight="1">
      <c r="A13" s="7" t="s">
        <v>329</v>
      </c>
      <c r="B13" s="8" t="s">
        <v>328</v>
      </c>
      <c r="C13" s="47">
        <v>1.5</v>
      </c>
      <c r="D13" s="8">
        <v>2.2999999999999998</v>
      </c>
      <c r="E13" s="8">
        <v>2</v>
      </c>
      <c r="F13" s="8">
        <v>3.3</v>
      </c>
      <c r="G13" s="8">
        <v>2.4</v>
      </c>
    </row>
    <row r="14" spans="1:7" ht="18" customHeight="1">
      <c r="A14" s="7" t="s">
        <v>330</v>
      </c>
      <c r="B14" s="8" t="s">
        <v>322</v>
      </c>
      <c r="C14" s="109">
        <v>5.97</v>
      </c>
      <c r="D14" s="110">
        <v>7.66</v>
      </c>
      <c r="E14" s="110">
        <v>6.13</v>
      </c>
      <c r="F14" s="110">
        <v>9.91</v>
      </c>
      <c r="G14" s="110">
        <v>6.51</v>
      </c>
    </row>
    <row r="15" spans="1:7" ht="18" customHeight="1">
      <c r="A15" s="11" t="s">
        <v>331</v>
      </c>
      <c r="B15" s="114"/>
      <c r="C15" s="112">
        <v>17.79</v>
      </c>
      <c r="D15" s="113">
        <v>8.59</v>
      </c>
      <c r="E15" s="113">
        <v>11.44</v>
      </c>
      <c r="F15" s="113">
        <v>5.45</v>
      </c>
      <c r="G15" s="113">
        <v>10.039999999999999</v>
      </c>
    </row>
    <row r="16" spans="1:7" ht="16" customHeight="1">
      <c r="A16" s="353" t="s">
        <v>1063</v>
      </c>
      <c r="B16" s="353"/>
      <c r="C16" s="353"/>
      <c r="D16" s="353"/>
      <c r="E16" s="353"/>
      <c r="F16" s="353"/>
      <c r="G16" s="353"/>
    </row>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mergeCells count="4">
    <mergeCell ref="A2:G2"/>
    <mergeCell ref="A3:G3"/>
    <mergeCell ref="A16:G16"/>
    <mergeCell ref="A4:G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7"/>
  <sheetViews>
    <sheetView showRuler="0" workbookViewId="0">
      <selection activeCell="A2" sqref="A2:B2"/>
    </sheetView>
  </sheetViews>
  <sheetFormatPr baseColWidth="10" defaultColWidth="12.83203125" defaultRowHeight="13"/>
  <cols>
    <col min="1" max="1" width="38.1640625" customWidth="1"/>
    <col min="2" max="2" width="52.83203125" customWidth="1"/>
  </cols>
  <sheetData>
    <row r="1" spans="1:2" ht="14">
      <c r="A1" s="301" t="str">
        <f>HYPERLINK("#'Index'!A1","Back to index")</f>
        <v>Back to index</v>
      </c>
    </row>
    <row r="2" spans="1:2" ht="25.75" customHeight="1">
      <c r="A2" s="315" t="s">
        <v>63</v>
      </c>
      <c r="B2" s="316"/>
    </row>
    <row r="3" spans="1:2" ht="22.5" customHeight="1">
      <c r="A3" s="317" t="s">
        <v>16</v>
      </c>
      <c r="B3" s="316"/>
    </row>
    <row r="4" spans="1:2" ht="14" thickBot="1">
      <c r="A4" s="316"/>
      <c r="B4" s="316"/>
    </row>
    <row r="5" spans="1:2" ht="17">
      <c r="A5" s="229" t="s">
        <v>332</v>
      </c>
      <c r="B5" s="230" t="s">
        <v>333</v>
      </c>
    </row>
    <row r="6" spans="1:2" ht="34">
      <c r="A6" s="18" t="s">
        <v>334</v>
      </c>
      <c r="B6" s="17" t="s">
        <v>335</v>
      </c>
    </row>
    <row r="7" spans="1:2" ht="17">
      <c r="A7" s="18" t="s">
        <v>336</v>
      </c>
      <c r="B7" s="17" t="s">
        <v>337</v>
      </c>
    </row>
    <row r="8" spans="1:2" ht="34">
      <c r="A8" s="18" t="s">
        <v>338</v>
      </c>
      <c r="B8" s="17" t="s">
        <v>339</v>
      </c>
    </row>
    <row r="9" spans="1:2" ht="17">
      <c r="A9" s="18" t="s">
        <v>340</v>
      </c>
      <c r="B9" s="17" t="s">
        <v>341</v>
      </c>
    </row>
    <row r="10" spans="1:2" ht="51">
      <c r="A10" s="18" t="s">
        <v>342</v>
      </c>
      <c r="B10" s="17" t="s">
        <v>343</v>
      </c>
    </row>
    <row r="11" spans="1:2" ht="17">
      <c r="A11" s="18" t="s">
        <v>344</v>
      </c>
      <c r="B11" s="17" t="s">
        <v>345</v>
      </c>
    </row>
    <row r="12" spans="1:2" ht="17">
      <c r="A12" s="18" t="s">
        <v>346</v>
      </c>
      <c r="B12" s="17" t="s">
        <v>347</v>
      </c>
    </row>
    <row r="13" spans="1:2" ht="17">
      <c r="A13" s="18" t="s">
        <v>348</v>
      </c>
      <c r="B13" s="17" t="s">
        <v>349</v>
      </c>
    </row>
    <row r="14" spans="1:2" ht="17">
      <c r="A14" s="18" t="s">
        <v>350</v>
      </c>
      <c r="B14" s="17" t="s">
        <v>351</v>
      </c>
    </row>
    <row r="15" spans="1:2" ht="17">
      <c r="A15" s="18" t="s">
        <v>352</v>
      </c>
      <c r="B15" s="17" t="s">
        <v>353</v>
      </c>
    </row>
    <row r="16" spans="1:2" ht="17">
      <c r="A16" s="52" t="s">
        <v>354</v>
      </c>
      <c r="B16" s="52" t="s">
        <v>355</v>
      </c>
    </row>
    <row r="17" spans="1:2">
      <c r="A17" s="55"/>
      <c r="B17" s="55"/>
    </row>
  </sheetData>
  <mergeCells count="3">
    <mergeCell ref="A2:B2"/>
    <mergeCell ref="A3:B3"/>
    <mergeCell ref="A4:B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48"/>
  <sheetViews>
    <sheetView showRuler="0" workbookViewId="0">
      <selection activeCell="A2" sqref="A2:B2"/>
    </sheetView>
  </sheetViews>
  <sheetFormatPr baseColWidth="10" defaultColWidth="12.83203125" defaultRowHeight="13"/>
  <cols>
    <col min="1" max="1" width="38.1640625" customWidth="1"/>
    <col min="2" max="2" width="52.83203125" customWidth="1"/>
  </cols>
  <sheetData>
    <row r="1" spans="1:2" ht="15.75" customHeight="1">
      <c r="A1" s="301" t="str">
        <f>HYPERLINK("#'Index'!A1","Back to index")</f>
        <v>Back to index</v>
      </c>
    </row>
    <row r="2" spans="1:2" ht="25.75" customHeight="1">
      <c r="A2" s="315" t="s">
        <v>63</v>
      </c>
      <c r="B2" s="316"/>
    </row>
    <row r="3" spans="1:2" ht="22.5" customHeight="1">
      <c r="A3" s="317" t="s">
        <v>17</v>
      </c>
      <c r="B3" s="316"/>
    </row>
    <row r="4" spans="1:2" ht="15" customHeight="1" thickBot="1">
      <c r="A4" s="316"/>
      <c r="B4" s="316"/>
    </row>
    <row r="5" spans="1:2" ht="15" customHeight="1">
      <c r="A5" s="231" t="s">
        <v>356</v>
      </c>
      <c r="B5" s="230" t="s">
        <v>357</v>
      </c>
    </row>
    <row r="6" spans="1:2" ht="15" customHeight="1">
      <c r="A6" s="115" t="s">
        <v>358</v>
      </c>
      <c r="B6" s="7" t="s">
        <v>359</v>
      </c>
    </row>
    <row r="7" spans="1:2" ht="15" customHeight="1">
      <c r="A7" s="115" t="s">
        <v>360</v>
      </c>
      <c r="B7" s="7" t="s">
        <v>361</v>
      </c>
    </row>
    <row r="8" spans="1:2" ht="15" customHeight="1">
      <c r="A8" s="115" t="s">
        <v>362</v>
      </c>
      <c r="B8" s="7" t="s">
        <v>363</v>
      </c>
    </row>
    <row r="9" spans="1:2" ht="15" customHeight="1">
      <c r="A9" s="115" t="s">
        <v>364</v>
      </c>
      <c r="B9" s="7" t="s">
        <v>365</v>
      </c>
    </row>
    <row r="10" spans="1:2" ht="15" customHeight="1">
      <c r="A10" s="115" t="s">
        <v>366</v>
      </c>
      <c r="B10" s="7" t="s">
        <v>367</v>
      </c>
    </row>
    <row r="11" spans="1:2" ht="15" customHeight="1">
      <c r="A11" s="115" t="s">
        <v>368</v>
      </c>
      <c r="B11" s="7" t="s">
        <v>369</v>
      </c>
    </row>
    <row r="12" spans="1:2" ht="15" customHeight="1">
      <c r="A12" s="115" t="s">
        <v>370</v>
      </c>
      <c r="B12" s="7" t="s">
        <v>371</v>
      </c>
    </row>
    <row r="13" spans="1:2" ht="15" customHeight="1">
      <c r="A13" s="115" t="s">
        <v>372</v>
      </c>
      <c r="B13" s="7" t="s">
        <v>373</v>
      </c>
    </row>
    <row r="14" spans="1:2" ht="15" customHeight="1">
      <c r="A14" s="115" t="s">
        <v>374</v>
      </c>
      <c r="B14" s="7" t="s">
        <v>375</v>
      </c>
    </row>
    <row r="15" spans="1:2" ht="15" customHeight="1">
      <c r="A15" s="115" t="s">
        <v>376</v>
      </c>
      <c r="B15" s="7" t="s">
        <v>377</v>
      </c>
    </row>
    <row r="16" spans="1:2" ht="15" customHeight="1">
      <c r="A16" s="116" t="s">
        <v>378</v>
      </c>
      <c r="B16" s="11" t="s">
        <v>379</v>
      </c>
    </row>
    <row r="17" spans="1:2" ht="15" customHeight="1">
      <c r="A17" s="365"/>
      <c r="B17" s="365"/>
    </row>
    <row r="18" spans="1:2" ht="15" customHeight="1"/>
    <row r="19" spans="1:2" ht="15" customHeight="1"/>
    <row r="20" spans="1:2" ht="15" customHeight="1"/>
    <row r="21" spans="1:2" ht="15" customHeight="1"/>
    <row r="22" spans="1:2" ht="15" customHeight="1"/>
    <row r="23" spans="1:2" ht="15" customHeight="1"/>
    <row r="24" spans="1:2" ht="15" customHeight="1"/>
    <row r="25" spans="1:2" ht="15" customHeight="1"/>
    <row r="26" spans="1:2" ht="15" customHeight="1"/>
    <row r="27" spans="1:2" ht="15" customHeight="1"/>
    <row r="28" spans="1:2" ht="15" customHeight="1"/>
    <row r="29" spans="1:2" ht="15" customHeight="1"/>
    <row r="30" spans="1:2" ht="15" customHeight="1"/>
    <row r="31" spans="1:2" ht="15" customHeight="1"/>
    <row r="32" spans="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mergeCells count="4">
    <mergeCell ref="A2:B2"/>
    <mergeCell ref="A3:B3"/>
    <mergeCell ref="A4:B4"/>
    <mergeCell ref="A17:B1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61"/>
  <sheetViews>
    <sheetView showRuler="0" topLeftCell="A8" workbookViewId="0">
      <selection activeCell="A2" sqref="A2:D2"/>
    </sheetView>
  </sheetViews>
  <sheetFormatPr baseColWidth="10" defaultColWidth="12.83203125" defaultRowHeight="13"/>
  <cols>
    <col min="1" max="1" width="10.5" customWidth="1"/>
    <col min="2" max="2" width="23.33203125" customWidth="1"/>
    <col min="3" max="3" width="51.6640625" customWidth="1"/>
    <col min="4" max="4" width="20.83203125" customWidth="1"/>
    <col min="5" max="5" width="28.6640625" customWidth="1"/>
  </cols>
  <sheetData>
    <row r="1" spans="1:6" ht="15.75" customHeight="1">
      <c r="A1" s="366" t="str">
        <f>HYPERLINK("#'Index'!A1","Back to index")</f>
        <v>Back to index</v>
      </c>
      <c r="B1" s="367"/>
    </row>
    <row r="2" spans="1:6" ht="25.75" customHeight="1">
      <c r="A2" s="315" t="s">
        <v>63</v>
      </c>
      <c r="B2" s="315"/>
      <c r="C2" s="315"/>
      <c r="D2" s="315"/>
    </row>
    <row r="3" spans="1:6" ht="22.5" customHeight="1">
      <c r="A3" s="317" t="s">
        <v>18</v>
      </c>
      <c r="B3" s="317"/>
      <c r="C3" s="317"/>
      <c r="D3" s="317"/>
      <c r="F3" s="37"/>
    </row>
    <row r="4" spans="1:6">
      <c r="A4" s="338"/>
      <c r="B4" s="338"/>
      <c r="C4" s="338"/>
      <c r="D4" s="338"/>
    </row>
    <row r="5" spans="1:6" ht="15" thickBot="1">
      <c r="A5" s="368" t="s">
        <v>380</v>
      </c>
      <c r="B5" s="316"/>
      <c r="C5" s="316"/>
      <c r="D5" s="316"/>
    </row>
    <row r="6" spans="1:6" ht="16">
      <c r="A6" s="363"/>
      <c r="B6" s="363"/>
      <c r="C6" s="363"/>
      <c r="D6" s="363"/>
    </row>
    <row r="7" spans="1:6" ht="17" customHeight="1" thickBot="1">
      <c r="A7" s="368" t="s">
        <v>381</v>
      </c>
      <c r="B7" s="316"/>
      <c r="C7" s="316"/>
      <c r="D7" s="316"/>
      <c r="E7" s="316"/>
    </row>
    <row r="8" spans="1:6" ht="17">
      <c r="A8" s="372" t="s">
        <v>382</v>
      </c>
      <c r="B8" s="117" t="s">
        <v>383</v>
      </c>
      <c r="C8" s="6" t="s">
        <v>384</v>
      </c>
      <c r="D8" s="86">
        <v>2841</v>
      </c>
    </row>
    <row r="9" spans="1:6" ht="17">
      <c r="A9" s="373"/>
      <c r="B9" s="119"/>
      <c r="C9" s="7" t="s">
        <v>385</v>
      </c>
      <c r="D9" s="104">
        <v>10</v>
      </c>
    </row>
    <row r="10" spans="1:6" ht="17">
      <c r="A10" s="373"/>
      <c r="B10" s="7" t="s">
        <v>386</v>
      </c>
      <c r="C10" s="7" t="s">
        <v>387</v>
      </c>
      <c r="D10" s="104">
        <v>740</v>
      </c>
    </row>
    <row r="11" spans="1:6" ht="17">
      <c r="A11" s="373"/>
      <c r="B11" s="7" t="s">
        <v>388</v>
      </c>
      <c r="C11" s="7" t="s">
        <v>389</v>
      </c>
      <c r="D11" s="104">
        <v>442</v>
      </c>
    </row>
    <row r="12" spans="1:6" ht="17">
      <c r="A12" s="373"/>
      <c r="B12" s="7" t="s">
        <v>390</v>
      </c>
      <c r="C12" s="7" t="s">
        <v>391</v>
      </c>
      <c r="D12" s="104">
        <v>122</v>
      </c>
    </row>
    <row r="13" spans="1:6" ht="20" customHeight="1">
      <c r="A13" s="374"/>
      <c r="B13" s="7" t="s">
        <v>392</v>
      </c>
      <c r="C13" s="7" t="s">
        <v>393</v>
      </c>
      <c r="D13" s="104">
        <v>50</v>
      </c>
    </row>
    <row r="14" spans="1:6" ht="17">
      <c r="A14" s="7" t="s">
        <v>394</v>
      </c>
      <c r="B14" s="7" t="s">
        <v>395</v>
      </c>
      <c r="C14" s="7" t="s">
        <v>396</v>
      </c>
      <c r="D14" s="232" t="s">
        <v>1064</v>
      </c>
    </row>
    <row r="15" spans="1:6" ht="17">
      <c r="A15" s="323" t="s">
        <v>397</v>
      </c>
      <c r="B15" s="7" t="s">
        <v>398</v>
      </c>
      <c r="C15" s="7" t="s">
        <v>399</v>
      </c>
      <c r="D15" s="104">
        <v>715</v>
      </c>
    </row>
    <row r="16" spans="1:6" ht="17">
      <c r="A16" s="374"/>
      <c r="B16" s="7" t="s">
        <v>400</v>
      </c>
      <c r="C16" s="7" t="s">
        <v>401</v>
      </c>
      <c r="D16" s="104">
        <v>501</v>
      </c>
    </row>
    <row r="17" spans="1:5" ht="17">
      <c r="A17" s="7" t="s">
        <v>402</v>
      </c>
      <c r="B17" s="7" t="s">
        <v>403</v>
      </c>
      <c r="C17" s="7" t="s">
        <v>404</v>
      </c>
      <c r="D17" s="104">
        <v>329</v>
      </c>
    </row>
    <row r="18" spans="1:5" ht="17">
      <c r="A18" s="7" t="s">
        <v>405</v>
      </c>
      <c r="B18" s="7" t="s">
        <v>406</v>
      </c>
      <c r="C18" s="7" t="s">
        <v>407</v>
      </c>
      <c r="D18" s="104">
        <v>90</v>
      </c>
    </row>
    <row r="19" spans="1:5" ht="17">
      <c r="A19" s="7" t="s">
        <v>408</v>
      </c>
      <c r="B19" s="7" t="s">
        <v>409</v>
      </c>
      <c r="C19" s="7" t="s">
        <v>410</v>
      </c>
      <c r="D19" s="104">
        <v>104</v>
      </c>
    </row>
    <row r="20" spans="1:5" ht="19">
      <c r="A20" s="7" t="s">
        <v>411</v>
      </c>
      <c r="B20" s="7" t="s">
        <v>412</v>
      </c>
      <c r="C20" s="7" t="s">
        <v>413</v>
      </c>
      <c r="D20" s="104">
        <v>1</v>
      </c>
    </row>
    <row r="21" spans="1:5" ht="17">
      <c r="A21" s="7" t="s">
        <v>414</v>
      </c>
      <c r="B21" s="7" t="s">
        <v>415</v>
      </c>
      <c r="C21" s="7" t="s">
        <v>401</v>
      </c>
      <c r="D21" s="104">
        <v>1</v>
      </c>
    </row>
    <row r="22" spans="1:5" ht="17">
      <c r="A22" s="7" t="s">
        <v>416</v>
      </c>
      <c r="B22" s="7" t="s">
        <v>417</v>
      </c>
      <c r="C22" s="7" t="s">
        <v>418</v>
      </c>
      <c r="D22" s="104">
        <v>1</v>
      </c>
      <c r="E22" s="100"/>
    </row>
    <row r="23" spans="1:5" ht="17">
      <c r="A23" s="7" t="s">
        <v>419</v>
      </c>
      <c r="B23" s="7" t="s">
        <v>420</v>
      </c>
      <c r="C23" s="7" t="s">
        <v>418</v>
      </c>
      <c r="D23" s="104">
        <v>1</v>
      </c>
      <c r="E23" s="100"/>
    </row>
    <row r="24" spans="1:5" ht="18" customHeight="1">
      <c r="A24" s="375" t="s">
        <v>421</v>
      </c>
      <c r="B24" s="375"/>
      <c r="C24" s="375"/>
      <c r="D24" s="90">
        <v>6969</v>
      </c>
    </row>
    <row r="25" spans="1:5" ht="16">
      <c r="A25" s="376" t="s">
        <v>422</v>
      </c>
      <c r="B25" s="376"/>
      <c r="C25" s="376"/>
      <c r="D25" s="120"/>
    </row>
    <row r="26" spans="1:5" ht="17">
      <c r="A26" s="331"/>
      <c r="B26" s="6" t="s">
        <v>423</v>
      </c>
      <c r="C26" s="6" t="s">
        <v>424</v>
      </c>
      <c r="D26" s="121">
        <v>221</v>
      </c>
    </row>
    <row r="27" spans="1:5" ht="16" hidden="1">
      <c r="A27" s="316"/>
      <c r="B27" s="7"/>
      <c r="C27" s="7"/>
      <c r="D27" s="122"/>
    </row>
    <row r="28" spans="1:5" ht="18" customHeight="1">
      <c r="A28" s="369" t="s">
        <v>425</v>
      </c>
      <c r="B28" s="369"/>
      <c r="C28" s="369"/>
      <c r="D28" s="123">
        <v>221</v>
      </c>
    </row>
    <row r="29" spans="1:5" ht="18" customHeight="1" thickBot="1">
      <c r="A29" s="378" t="s">
        <v>426</v>
      </c>
      <c r="B29" s="378"/>
      <c r="C29" s="378"/>
      <c r="D29" s="233">
        <v>7190</v>
      </c>
    </row>
    <row r="30" spans="1:5" ht="59" customHeight="1">
      <c r="A30" s="319" t="s">
        <v>1065</v>
      </c>
      <c r="B30" s="319"/>
      <c r="C30" s="319"/>
      <c r="D30" s="319"/>
      <c r="E30" s="370"/>
    </row>
    <row r="31" spans="1:5" ht="22.5" customHeight="1">
      <c r="A31" s="338"/>
      <c r="B31" s="338"/>
      <c r="C31" s="338"/>
      <c r="D31" s="338"/>
    </row>
    <row r="32" spans="1:5" ht="22.5" customHeight="1">
      <c r="A32" s="371" t="s">
        <v>427</v>
      </c>
      <c r="B32" s="316"/>
      <c r="C32" s="316"/>
      <c r="D32" s="316"/>
      <c r="E32" s="316"/>
    </row>
    <row r="33" spans="1:5" ht="18" customHeight="1">
      <c r="A33" s="368" t="s">
        <v>381</v>
      </c>
      <c r="B33" s="368"/>
      <c r="C33" s="368"/>
      <c r="D33" s="316"/>
      <c r="E33" s="316"/>
    </row>
    <row r="34" spans="1:5" ht="17">
      <c r="A34" s="6" t="s">
        <v>382</v>
      </c>
      <c r="B34" s="6" t="s">
        <v>428</v>
      </c>
      <c r="C34" s="6" t="s">
        <v>429</v>
      </c>
      <c r="D34" s="125">
        <v>29</v>
      </c>
    </row>
    <row r="35" spans="1:5" ht="19">
      <c r="A35" s="17" t="s">
        <v>430</v>
      </c>
      <c r="B35" s="17" t="s">
        <v>431</v>
      </c>
      <c r="C35" s="17" t="s">
        <v>432</v>
      </c>
      <c r="D35" s="126">
        <v>2</v>
      </c>
    </row>
    <row r="36" spans="1:5" ht="17">
      <c r="A36" s="7" t="s">
        <v>433</v>
      </c>
      <c r="B36" s="7" t="s">
        <v>434</v>
      </c>
      <c r="C36" s="17" t="s">
        <v>435</v>
      </c>
      <c r="D36" s="126">
        <v>1</v>
      </c>
      <c r="E36" s="100"/>
    </row>
    <row r="37" spans="1:5" ht="18" customHeight="1">
      <c r="A37" s="375" t="s">
        <v>421</v>
      </c>
      <c r="B37" s="375"/>
      <c r="C37" s="375"/>
      <c r="D37" s="127">
        <v>32</v>
      </c>
    </row>
    <row r="38" spans="1:5" ht="16">
      <c r="A38" s="376" t="s">
        <v>436</v>
      </c>
      <c r="B38" s="376"/>
      <c r="C38" s="376"/>
      <c r="D38" s="376"/>
      <c r="E38" s="316"/>
    </row>
    <row r="39" spans="1:5" ht="19">
      <c r="A39" s="372" t="s">
        <v>437</v>
      </c>
      <c r="B39" s="16" t="s">
        <v>438</v>
      </c>
      <c r="C39" s="16"/>
      <c r="D39" s="121">
        <v>1</v>
      </c>
      <c r="E39" s="128"/>
    </row>
    <row r="40" spans="1:5" ht="17">
      <c r="A40" s="374"/>
      <c r="B40" s="17" t="s">
        <v>439</v>
      </c>
      <c r="C40" s="17" t="s">
        <v>440</v>
      </c>
      <c r="D40" s="126">
        <v>4</v>
      </c>
      <c r="E40" s="100"/>
    </row>
    <row r="41" spans="1:5" ht="19">
      <c r="A41" s="7" t="s">
        <v>441</v>
      </c>
      <c r="B41" s="7" t="s">
        <v>442</v>
      </c>
      <c r="C41" s="7"/>
      <c r="D41" s="104">
        <v>1</v>
      </c>
      <c r="E41" s="100"/>
    </row>
    <row r="42" spans="1:5" ht="19">
      <c r="A42" s="7" t="s">
        <v>443</v>
      </c>
      <c r="B42" s="7" t="s">
        <v>444</v>
      </c>
      <c r="C42" s="7"/>
      <c r="D42" s="104">
        <v>1</v>
      </c>
      <c r="E42" s="100"/>
    </row>
    <row r="43" spans="1:5" ht="17">
      <c r="A43" s="7" t="s">
        <v>445</v>
      </c>
      <c r="B43" s="7" t="s">
        <v>446</v>
      </c>
      <c r="C43" s="7" t="s">
        <v>447</v>
      </c>
      <c r="D43" s="104">
        <v>1</v>
      </c>
      <c r="E43" s="100"/>
    </row>
    <row r="44" spans="1:5" ht="20" customHeight="1">
      <c r="A44" s="375" t="s">
        <v>448</v>
      </c>
      <c r="B44" s="375"/>
      <c r="C44" s="375"/>
      <c r="D44" s="127">
        <v>8</v>
      </c>
    </row>
    <row r="45" spans="1:5" ht="18" customHeight="1">
      <c r="A45" s="377" t="s">
        <v>426</v>
      </c>
      <c r="B45" s="377"/>
      <c r="C45" s="377"/>
      <c r="D45" s="234">
        <v>40</v>
      </c>
    </row>
    <row r="46" spans="1:5" ht="22.5" customHeight="1">
      <c r="A46" s="387" t="s">
        <v>1042</v>
      </c>
      <c r="B46" s="387"/>
      <c r="C46" s="387"/>
      <c r="D46" s="387"/>
      <c r="E46" s="316"/>
    </row>
    <row r="47" spans="1:5" ht="24" customHeight="1" thickBot="1">
      <c r="A47" s="338"/>
      <c r="B47" s="338"/>
      <c r="C47" s="338"/>
      <c r="D47" s="338"/>
      <c r="E47" s="338"/>
    </row>
    <row r="48" spans="1:5" ht="32" customHeight="1">
      <c r="A48" s="385" t="s">
        <v>449</v>
      </c>
      <c r="B48" s="372" t="s">
        <v>450</v>
      </c>
      <c r="C48" s="372"/>
      <c r="D48" s="34" t="s">
        <v>451</v>
      </c>
      <c r="E48" s="235"/>
    </row>
    <row r="49" spans="1:5" ht="30.75" customHeight="1">
      <c r="A49" s="386"/>
      <c r="B49" s="374"/>
      <c r="C49" s="374"/>
      <c r="D49" s="35" t="s">
        <v>452</v>
      </c>
      <c r="E49" s="235"/>
    </row>
    <row r="50" spans="1:5" ht="45" customHeight="1">
      <c r="A50" s="130" t="s">
        <v>1066</v>
      </c>
      <c r="B50" s="328" t="s">
        <v>453</v>
      </c>
      <c r="C50" s="328"/>
      <c r="D50" s="17"/>
      <c r="E50" s="237"/>
    </row>
    <row r="51" spans="1:5" ht="18" customHeight="1">
      <c r="A51" s="382" t="s">
        <v>454</v>
      </c>
      <c r="B51" s="379" t="s">
        <v>455</v>
      </c>
      <c r="C51" s="379"/>
      <c r="D51" s="35" t="s">
        <v>456</v>
      </c>
      <c r="E51" s="235"/>
    </row>
    <row r="52" spans="1:5" ht="17">
      <c r="A52" s="383"/>
      <c r="B52" s="380"/>
      <c r="C52" s="380"/>
      <c r="D52" s="35" t="s">
        <v>457</v>
      </c>
      <c r="E52" s="235"/>
    </row>
    <row r="53" spans="1:5" ht="17">
      <c r="A53" s="383"/>
      <c r="B53" s="380"/>
      <c r="C53" s="380"/>
      <c r="D53" s="35" t="s">
        <v>458</v>
      </c>
      <c r="E53" s="235"/>
    </row>
    <row r="54" spans="1:5" ht="17">
      <c r="A54" s="383"/>
      <c r="B54" s="380"/>
      <c r="C54" s="380"/>
      <c r="D54" s="35" t="s">
        <v>459</v>
      </c>
      <c r="E54" s="235"/>
    </row>
    <row r="55" spans="1:5" ht="17">
      <c r="A55" s="383"/>
      <c r="B55" s="380"/>
      <c r="C55" s="380"/>
      <c r="D55" s="35" t="s">
        <v>460</v>
      </c>
      <c r="E55" s="235"/>
    </row>
    <row r="56" spans="1:5" ht="17">
      <c r="A56" s="383"/>
      <c r="B56" s="380"/>
      <c r="C56" s="380"/>
      <c r="D56" s="35" t="s">
        <v>461</v>
      </c>
      <c r="E56" s="235"/>
    </row>
    <row r="57" spans="1:5" ht="17">
      <c r="A57" s="383"/>
      <c r="B57" s="380"/>
      <c r="C57" s="380"/>
      <c r="D57" s="35" t="s">
        <v>462</v>
      </c>
      <c r="E57" s="235"/>
    </row>
    <row r="58" spans="1:5" ht="17">
      <c r="A58" s="383"/>
      <c r="B58" s="380"/>
      <c r="C58" s="380"/>
      <c r="D58" s="35" t="s">
        <v>463</v>
      </c>
      <c r="E58" s="235"/>
    </row>
    <row r="59" spans="1:5" ht="17">
      <c r="A59" s="383"/>
      <c r="B59" s="380"/>
      <c r="C59" s="380"/>
      <c r="D59" s="35" t="s">
        <v>464</v>
      </c>
      <c r="E59" s="235"/>
    </row>
    <row r="60" spans="1:5" ht="17">
      <c r="A60" s="383"/>
      <c r="B60" s="380"/>
      <c r="C60" s="380"/>
      <c r="D60" s="35" t="s">
        <v>465</v>
      </c>
      <c r="E60" s="235"/>
    </row>
    <row r="61" spans="1:5" ht="35" thickBot="1">
      <c r="A61" s="384"/>
      <c r="B61" s="381"/>
      <c r="C61" s="381"/>
      <c r="D61" s="36" t="s">
        <v>466</v>
      </c>
      <c r="E61" s="235"/>
    </row>
  </sheetData>
  <mergeCells count="30">
    <mergeCell ref="B51:C61"/>
    <mergeCell ref="A51:A61"/>
    <mergeCell ref="A48:A49"/>
    <mergeCell ref="A46:E46"/>
    <mergeCell ref="A38:E38"/>
    <mergeCell ref="A47:E47"/>
    <mergeCell ref="B48:C49"/>
    <mergeCell ref="B50:C50"/>
    <mergeCell ref="A37:C37"/>
    <mergeCell ref="A39:A40"/>
    <mergeCell ref="A44:C44"/>
    <mergeCell ref="A45:C45"/>
    <mergeCell ref="A29:C29"/>
    <mergeCell ref="A28:C28"/>
    <mergeCell ref="A30:E30"/>
    <mergeCell ref="A33:E33"/>
    <mergeCell ref="A32:E32"/>
    <mergeCell ref="A8:A13"/>
    <mergeCell ref="A15:A16"/>
    <mergeCell ref="A24:C24"/>
    <mergeCell ref="A26:A27"/>
    <mergeCell ref="A25:C25"/>
    <mergeCell ref="A31:D31"/>
    <mergeCell ref="A1:B1"/>
    <mergeCell ref="A5:D5"/>
    <mergeCell ref="A7:E7"/>
    <mergeCell ref="A6:D6"/>
    <mergeCell ref="A2:D2"/>
    <mergeCell ref="A3:D3"/>
    <mergeCell ref="A4:D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9"/>
  <sheetViews>
    <sheetView showRuler="0" workbookViewId="0">
      <selection activeCell="A2" sqref="A2:C2"/>
    </sheetView>
  </sheetViews>
  <sheetFormatPr baseColWidth="10" defaultColWidth="12.83203125" defaultRowHeight="13"/>
  <cols>
    <col min="1" max="1" width="83.1640625" customWidth="1"/>
    <col min="2" max="3" width="16.83203125" customWidth="1"/>
  </cols>
  <sheetData>
    <row r="1" spans="1:4" ht="15.75" customHeight="1">
      <c r="A1" s="301" t="str">
        <f>HYPERLINK("#'Index'!A1","Back to index")</f>
        <v>Back to index</v>
      </c>
      <c r="B1" s="100"/>
      <c r="C1" s="100"/>
      <c r="D1" s="56"/>
    </row>
    <row r="2" spans="1:4" ht="25.75" customHeight="1">
      <c r="A2" s="315" t="s">
        <v>63</v>
      </c>
      <c r="B2" s="315"/>
      <c r="C2" s="315"/>
      <c r="D2" s="56"/>
    </row>
    <row r="3" spans="1:4" ht="22.5" customHeight="1">
      <c r="A3" s="317" t="s">
        <v>19</v>
      </c>
      <c r="B3" s="317"/>
      <c r="C3" s="317"/>
      <c r="D3" s="56"/>
    </row>
    <row r="4" spans="1:4" ht="15" customHeight="1">
      <c r="A4" s="388"/>
      <c r="B4" s="388"/>
      <c r="C4" s="388"/>
      <c r="D4" s="56"/>
    </row>
    <row r="5" spans="1:4" ht="15" customHeight="1">
      <c r="A5" s="15" t="s">
        <v>467</v>
      </c>
      <c r="B5" s="39" t="s">
        <v>468</v>
      </c>
      <c r="C5" s="38" t="s">
        <v>469</v>
      </c>
      <c r="D5" s="56"/>
    </row>
    <row r="6" spans="1:4" ht="15" customHeight="1">
      <c r="A6" s="6" t="s">
        <v>470</v>
      </c>
      <c r="B6" s="59">
        <v>3492</v>
      </c>
      <c r="C6" s="79">
        <v>3011</v>
      </c>
      <c r="D6" s="56"/>
    </row>
    <row r="7" spans="1:4" ht="15" customHeight="1">
      <c r="A7" s="7" t="s">
        <v>471</v>
      </c>
      <c r="B7" s="61">
        <v>2180</v>
      </c>
      <c r="C7" s="80">
        <v>2087</v>
      </c>
      <c r="D7" s="56"/>
    </row>
    <row r="8" spans="1:4" ht="15" customHeight="1">
      <c r="A8" s="7" t="s">
        <v>472</v>
      </c>
      <c r="B8" s="61">
        <v>618</v>
      </c>
      <c r="C8" s="80">
        <v>628</v>
      </c>
      <c r="D8" s="56"/>
    </row>
    <row r="9" spans="1:4" ht="15" customHeight="1">
      <c r="A9" s="7" t="s">
        <v>473</v>
      </c>
      <c r="B9" s="61">
        <v>360</v>
      </c>
      <c r="C9" s="80">
        <v>289</v>
      </c>
      <c r="D9" s="56"/>
    </row>
    <row r="10" spans="1:4" ht="15" customHeight="1">
      <c r="A10" s="7" t="s">
        <v>474</v>
      </c>
      <c r="B10" s="61">
        <v>-1790</v>
      </c>
      <c r="C10" s="80">
        <v>-1584</v>
      </c>
      <c r="D10" s="56"/>
    </row>
    <row r="11" spans="1:4" ht="15" customHeight="1">
      <c r="A11" s="7" t="s">
        <v>475</v>
      </c>
      <c r="B11" s="61">
        <v>-772</v>
      </c>
      <c r="C11" s="80">
        <v>-691</v>
      </c>
      <c r="D11" s="56"/>
    </row>
    <row r="12" spans="1:4" ht="15" customHeight="1">
      <c r="A12" s="9" t="s">
        <v>476</v>
      </c>
      <c r="B12" s="131">
        <v>4090</v>
      </c>
      <c r="C12" s="132">
        <v>3741</v>
      </c>
      <c r="D12" s="56"/>
    </row>
    <row r="13" spans="1:4" ht="15" customHeight="1">
      <c r="A13" s="7" t="s">
        <v>477</v>
      </c>
      <c r="B13" s="61">
        <v>355</v>
      </c>
      <c r="C13" s="80">
        <v>413</v>
      </c>
      <c r="D13" s="56"/>
    </row>
    <row r="14" spans="1:4" ht="15" customHeight="1">
      <c r="A14" s="7" t="s">
        <v>478</v>
      </c>
      <c r="B14" s="61">
        <v>3</v>
      </c>
      <c r="C14" s="80">
        <v>-3</v>
      </c>
      <c r="D14" s="56"/>
    </row>
    <row r="15" spans="1:4" ht="15" customHeight="1">
      <c r="A15" s="9" t="s">
        <v>479</v>
      </c>
      <c r="B15" s="131">
        <v>358</v>
      </c>
      <c r="C15" s="132">
        <v>411</v>
      </c>
      <c r="D15" s="56"/>
    </row>
    <row r="16" spans="1:4" ht="15" customHeight="1">
      <c r="A16" s="7" t="s">
        <v>480</v>
      </c>
      <c r="B16" s="61">
        <v>3</v>
      </c>
      <c r="C16" s="80">
        <v>20</v>
      </c>
      <c r="D16" s="56"/>
    </row>
    <row r="17" spans="1:4" ht="15" customHeight="1">
      <c r="A17" s="9" t="s">
        <v>481</v>
      </c>
      <c r="B17" s="131">
        <v>360</v>
      </c>
      <c r="C17" s="132">
        <v>430</v>
      </c>
      <c r="D17" s="56"/>
    </row>
    <row r="18" spans="1:4" ht="15" customHeight="1">
      <c r="A18" s="95" t="s">
        <v>482</v>
      </c>
      <c r="B18" s="136">
        <v>8.8000000000000009E-2</v>
      </c>
      <c r="C18" s="137">
        <v>0.115</v>
      </c>
      <c r="D18" s="118"/>
    </row>
    <row r="19" spans="1:4" ht="15" customHeight="1">
      <c r="A19" s="365"/>
      <c r="B19" s="365"/>
      <c r="C19" s="365"/>
      <c r="D19" s="56"/>
    </row>
  </sheetData>
  <mergeCells count="4">
    <mergeCell ref="A2:C2"/>
    <mergeCell ref="A3:C3"/>
    <mergeCell ref="A19:C19"/>
    <mergeCell ref="A4:C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9"/>
  <sheetViews>
    <sheetView showRuler="0" workbookViewId="0">
      <selection activeCell="A2" sqref="A2:E2"/>
    </sheetView>
  </sheetViews>
  <sheetFormatPr baseColWidth="10" defaultColWidth="12.83203125" defaultRowHeight="13"/>
  <cols>
    <col min="1" max="1" width="56.5" customWidth="1"/>
    <col min="2" max="5" width="16.83203125" customWidth="1"/>
  </cols>
  <sheetData>
    <row r="1" spans="1:5" ht="14">
      <c r="A1" s="301" t="str">
        <f>HYPERLINK("#'Index'!A1","Back to index")</f>
        <v>Back to index</v>
      </c>
    </row>
    <row r="2" spans="1:5" ht="25.75" customHeight="1">
      <c r="A2" s="315" t="s">
        <v>63</v>
      </c>
      <c r="B2" s="316"/>
      <c r="C2" s="316"/>
      <c r="D2" s="316"/>
      <c r="E2" s="316"/>
    </row>
    <row r="3" spans="1:5" ht="39.25" customHeight="1">
      <c r="A3" s="317" t="s">
        <v>20</v>
      </c>
      <c r="B3" s="316"/>
      <c r="C3" s="316"/>
      <c r="D3" s="316"/>
      <c r="E3" s="316"/>
    </row>
    <row r="4" spans="1:5">
      <c r="A4" s="334"/>
      <c r="B4" s="334"/>
      <c r="C4" s="334"/>
      <c r="D4" s="334"/>
      <c r="E4" s="334"/>
    </row>
    <row r="5" spans="1:5" ht="22.5" customHeight="1">
      <c r="A5" s="15"/>
      <c r="B5" s="39" t="s">
        <v>64</v>
      </c>
      <c r="C5" s="38" t="s">
        <v>246</v>
      </c>
      <c r="D5" s="38" t="s">
        <v>319</v>
      </c>
      <c r="E5" s="38" t="s">
        <v>320</v>
      </c>
    </row>
    <row r="6" spans="1:5" ht="19">
      <c r="A6" s="32" t="s">
        <v>483</v>
      </c>
      <c r="B6" s="76">
        <v>48</v>
      </c>
      <c r="C6" s="75">
        <v>58</v>
      </c>
      <c r="D6" s="75">
        <v>49</v>
      </c>
      <c r="E6" s="75">
        <v>50</v>
      </c>
    </row>
    <row r="7" spans="1:5" ht="17">
      <c r="A7" s="81" t="s">
        <v>484</v>
      </c>
      <c r="B7" s="61">
        <v>1</v>
      </c>
      <c r="C7" s="80">
        <v>1</v>
      </c>
      <c r="D7" s="80">
        <v>3</v>
      </c>
      <c r="E7" s="80">
        <v>0</v>
      </c>
    </row>
    <row r="8" spans="1:5" ht="19">
      <c r="A8" s="11" t="s">
        <v>485</v>
      </c>
      <c r="B8" s="138">
        <v>2.9</v>
      </c>
      <c r="C8" s="139">
        <v>3.6</v>
      </c>
      <c r="D8" s="139">
        <v>3.3</v>
      </c>
      <c r="E8" s="139">
        <v>3.4</v>
      </c>
    </row>
    <row r="9" spans="1:5" ht="48" customHeight="1">
      <c r="A9" s="353" t="s">
        <v>1067</v>
      </c>
      <c r="B9" s="353"/>
      <c r="C9" s="353"/>
      <c r="D9" s="353"/>
      <c r="E9" s="353"/>
    </row>
  </sheetData>
  <mergeCells count="4">
    <mergeCell ref="A2:E2"/>
    <mergeCell ref="A3:E3"/>
    <mergeCell ref="A9:E9"/>
    <mergeCell ref="A4:E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25"/>
  <sheetViews>
    <sheetView showRuler="0" workbookViewId="0">
      <selection activeCell="A2" sqref="A2:G2"/>
    </sheetView>
  </sheetViews>
  <sheetFormatPr baseColWidth="10" defaultColWidth="12.83203125" defaultRowHeight="13"/>
  <cols>
    <col min="1" max="1" width="72.83203125" customWidth="1"/>
    <col min="2" max="7" width="18.6640625" customWidth="1"/>
    <col min="8" max="8" width="16.83203125" customWidth="1"/>
  </cols>
  <sheetData>
    <row r="1" spans="1:7" ht="14">
      <c r="A1" s="301" t="str">
        <f>HYPERLINK("#'Index'!A1","Back to index")</f>
        <v>Back to index</v>
      </c>
    </row>
    <row r="2" spans="1:7" ht="25.75" customHeight="1">
      <c r="A2" s="315" t="s">
        <v>63</v>
      </c>
      <c r="B2" s="316"/>
      <c r="C2" s="316"/>
      <c r="D2" s="316"/>
      <c r="E2" s="316"/>
      <c r="F2" s="316"/>
      <c r="G2" s="316"/>
    </row>
    <row r="3" spans="1:7" ht="22.5" customHeight="1">
      <c r="A3" s="317" t="s">
        <v>21</v>
      </c>
      <c r="B3" s="316"/>
      <c r="C3" s="316"/>
      <c r="D3" s="316"/>
      <c r="E3" s="316"/>
      <c r="F3" s="316"/>
      <c r="G3" s="316"/>
    </row>
    <row r="4" spans="1:7" ht="16" customHeight="1">
      <c r="A4" s="338"/>
      <c r="B4" s="338"/>
      <c r="C4" s="338"/>
      <c r="D4" s="338"/>
      <c r="E4" s="338"/>
      <c r="F4" s="338"/>
      <c r="G4" s="338"/>
    </row>
    <row r="5" spans="1:7" ht="22.5" customHeight="1">
      <c r="A5" s="140"/>
      <c r="B5" s="389" t="s">
        <v>486</v>
      </c>
      <c r="C5" s="389"/>
      <c r="D5" s="389"/>
      <c r="E5" s="349" t="s">
        <v>487</v>
      </c>
      <c r="F5" s="349"/>
      <c r="G5" s="349"/>
    </row>
    <row r="6" spans="1:7" ht="34">
      <c r="A6" s="141" t="s">
        <v>467</v>
      </c>
      <c r="B6" s="142" t="s">
        <v>488</v>
      </c>
      <c r="C6" s="142" t="s">
        <v>489</v>
      </c>
      <c r="D6" s="142" t="s">
        <v>490</v>
      </c>
      <c r="E6" s="143" t="s">
        <v>488</v>
      </c>
      <c r="F6" s="143" t="s">
        <v>489</v>
      </c>
      <c r="G6" s="143" t="s">
        <v>490</v>
      </c>
    </row>
    <row r="7" spans="1:7" ht="17">
      <c r="A7" s="4" t="s">
        <v>491</v>
      </c>
      <c r="B7" s="144">
        <v>18171</v>
      </c>
      <c r="C7" s="144">
        <v>0</v>
      </c>
      <c r="D7" s="144">
        <v>18171</v>
      </c>
      <c r="E7" s="145">
        <v>17138</v>
      </c>
      <c r="F7" s="145">
        <v>0</v>
      </c>
      <c r="G7" s="145">
        <v>17138</v>
      </c>
    </row>
    <row r="8" spans="1:7" ht="17">
      <c r="A8" s="7" t="s">
        <v>492</v>
      </c>
      <c r="B8" s="61">
        <v>329</v>
      </c>
      <c r="C8" s="61">
        <v>-286</v>
      </c>
      <c r="D8" s="61">
        <v>42</v>
      </c>
      <c r="E8" s="80">
        <v>125</v>
      </c>
      <c r="F8" s="80">
        <v>-133</v>
      </c>
      <c r="G8" s="80">
        <v>-8</v>
      </c>
    </row>
    <row r="9" spans="1:7" ht="17">
      <c r="A9" s="7" t="s">
        <v>493</v>
      </c>
      <c r="B9" s="61">
        <v>55</v>
      </c>
      <c r="C9" s="61">
        <v>0</v>
      </c>
      <c r="D9" s="61">
        <v>55</v>
      </c>
      <c r="E9" s="80">
        <v>45</v>
      </c>
      <c r="F9" s="80">
        <v>0</v>
      </c>
      <c r="G9" s="80">
        <v>45</v>
      </c>
    </row>
    <row r="10" spans="1:7" ht="17">
      <c r="A10" s="7" t="s">
        <v>494</v>
      </c>
      <c r="B10" s="61">
        <v>151</v>
      </c>
      <c r="C10" s="61">
        <v>0</v>
      </c>
      <c r="D10" s="61">
        <v>151</v>
      </c>
      <c r="E10" s="80">
        <v>121</v>
      </c>
      <c r="F10" s="80">
        <v>32</v>
      </c>
      <c r="G10" s="80">
        <v>152</v>
      </c>
    </row>
    <row r="11" spans="1:7" ht="17">
      <c r="A11" s="7" t="s">
        <v>495</v>
      </c>
      <c r="B11" s="61">
        <v>-16709</v>
      </c>
      <c r="C11" s="61">
        <v>-89</v>
      </c>
      <c r="D11" s="61">
        <v>-16798</v>
      </c>
      <c r="E11" s="80">
        <v>-15634</v>
      </c>
      <c r="F11" s="80">
        <v>-7</v>
      </c>
      <c r="G11" s="80">
        <v>-15641</v>
      </c>
    </row>
    <row r="12" spans="1:7" ht="17">
      <c r="A12" s="9" t="s">
        <v>496</v>
      </c>
      <c r="B12" s="131">
        <v>1997</v>
      </c>
      <c r="C12" s="131">
        <v>-376</v>
      </c>
      <c r="D12" s="131">
        <v>1621</v>
      </c>
      <c r="E12" s="132">
        <v>1795</v>
      </c>
      <c r="F12" s="132">
        <v>-109</v>
      </c>
      <c r="G12" s="132">
        <v>1686</v>
      </c>
    </row>
    <row r="13" spans="1:7" ht="17">
      <c r="A13" s="7" t="s">
        <v>497</v>
      </c>
      <c r="B13" s="61">
        <v>-617</v>
      </c>
      <c r="C13" s="61">
        <v>0</v>
      </c>
      <c r="D13" s="61">
        <v>-617</v>
      </c>
      <c r="E13" s="80">
        <v>-633</v>
      </c>
      <c r="F13" s="80">
        <v>0</v>
      </c>
      <c r="G13" s="80">
        <v>-633</v>
      </c>
    </row>
    <row r="14" spans="1:7" ht="17">
      <c r="A14" s="7" t="s">
        <v>498</v>
      </c>
      <c r="B14" s="61">
        <v>-233</v>
      </c>
      <c r="C14" s="61">
        <v>2</v>
      </c>
      <c r="D14" s="61">
        <v>-231</v>
      </c>
      <c r="E14" s="80">
        <v>-212</v>
      </c>
      <c r="F14" s="80">
        <v>0</v>
      </c>
      <c r="G14" s="80">
        <v>-211</v>
      </c>
    </row>
    <row r="15" spans="1:7" ht="17">
      <c r="A15" s="7" t="s">
        <v>499</v>
      </c>
      <c r="B15" s="61">
        <v>-415</v>
      </c>
      <c r="C15" s="61">
        <v>0</v>
      </c>
      <c r="D15" s="61">
        <v>-415</v>
      </c>
      <c r="E15" s="80">
        <v>-431</v>
      </c>
      <c r="F15" s="80">
        <v>0</v>
      </c>
      <c r="G15" s="80">
        <v>-431</v>
      </c>
    </row>
    <row r="16" spans="1:7" ht="17">
      <c r="A16" s="9" t="s">
        <v>500</v>
      </c>
      <c r="B16" s="131">
        <v>731</v>
      </c>
      <c r="C16" s="131">
        <v>-374</v>
      </c>
      <c r="D16" s="131">
        <v>358</v>
      </c>
      <c r="E16" s="132">
        <v>519</v>
      </c>
      <c r="F16" s="132">
        <v>-108</v>
      </c>
      <c r="G16" s="132">
        <v>411</v>
      </c>
    </row>
    <row r="17" spans="1:7" ht="17">
      <c r="A17" s="7" t="s">
        <v>501</v>
      </c>
      <c r="B17" s="61">
        <v>2</v>
      </c>
      <c r="C17" s="61">
        <v>1</v>
      </c>
      <c r="D17" s="61">
        <v>3</v>
      </c>
      <c r="E17" s="80">
        <v>21</v>
      </c>
      <c r="F17" s="80">
        <v>-1</v>
      </c>
      <c r="G17" s="80">
        <v>20</v>
      </c>
    </row>
    <row r="18" spans="1:7" ht="17">
      <c r="A18" s="7" t="s">
        <v>502</v>
      </c>
      <c r="B18" s="61">
        <v>19</v>
      </c>
      <c r="C18" s="61">
        <v>0</v>
      </c>
      <c r="D18" s="61">
        <v>19</v>
      </c>
      <c r="E18" s="80">
        <v>19</v>
      </c>
      <c r="F18" s="80">
        <v>0</v>
      </c>
      <c r="G18" s="80">
        <v>19</v>
      </c>
    </row>
    <row r="19" spans="1:7" ht="17">
      <c r="A19" s="7" t="s">
        <v>503</v>
      </c>
      <c r="B19" s="61">
        <v>-23</v>
      </c>
      <c r="C19" s="61">
        <v>0</v>
      </c>
      <c r="D19" s="61">
        <v>-23</v>
      </c>
      <c r="E19" s="80">
        <v>-36</v>
      </c>
      <c r="F19" s="80">
        <v>0</v>
      </c>
      <c r="G19" s="80">
        <v>-36</v>
      </c>
    </row>
    <row r="20" spans="1:7" ht="17">
      <c r="A20" s="7" t="s">
        <v>504</v>
      </c>
      <c r="B20" s="61">
        <v>0</v>
      </c>
      <c r="C20" s="61">
        <v>0</v>
      </c>
      <c r="D20" s="61">
        <v>0</v>
      </c>
      <c r="E20" s="80">
        <v>0</v>
      </c>
      <c r="F20" s="80">
        <v>0</v>
      </c>
      <c r="G20" s="80">
        <v>0</v>
      </c>
    </row>
    <row r="21" spans="1:7" ht="17">
      <c r="A21" s="7" t="s">
        <v>505</v>
      </c>
      <c r="B21" s="61">
        <v>-2</v>
      </c>
      <c r="C21" s="61">
        <v>0</v>
      </c>
      <c r="D21" s="61">
        <v>-2</v>
      </c>
      <c r="E21" s="80">
        <v>0</v>
      </c>
      <c r="F21" s="80">
        <v>0</v>
      </c>
      <c r="G21" s="80">
        <v>0</v>
      </c>
    </row>
    <row r="22" spans="1:7" ht="17">
      <c r="A22" s="9" t="s">
        <v>477</v>
      </c>
      <c r="B22" s="131">
        <v>727</v>
      </c>
      <c r="C22" s="131">
        <v>-373</v>
      </c>
      <c r="D22" s="131">
        <v>355</v>
      </c>
      <c r="E22" s="132">
        <v>523</v>
      </c>
      <c r="F22" s="132">
        <v>-109</v>
      </c>
      <c r="G22" s="132">
        <v>413</v>
      </c>
    </row>
    <row r="23" spans="1:7" ht="17">
      <c r="A23" s="7" t="s">
        <v>506</v>
      </c>
      <c r="B23" s="61">
        <v>-188</v>
      </c>
      <c r="C23" s="61">
        <v>94</v>
      </c>
      <c r="D23" s="61">
        <v>-94</v>
      </c>
      <c r="E23" s="80">
        <v>-107</v>
      </c>
      <c r="F23" s="80">
        <v>28</v>
      </c>
      <c r="G23" s="80">
        <v>-79</v>
      </c>
    </row>
    <row r="24" spans="1:7" ht="17">
      <c r="A24" s="10" t="s">
        <v>507</v>
      </c>
      <c r="B24" s="146">
        <v>539</v>
      </c>
      <c r="C24" s="146">
        <v>-278</v>
      </c>
      <c r="D24" s="146">
        <v>261</v>
      </c>
      <c r="E24" s="83">
        <v>416</v>
      </c>
      <c r="F24" s="83">
        <v>-82</v>
      </c>
      <c r="G24" s="83">
        <v>335</v>
      </c>
    </row>
    <row r="25" spans="1:7" ht="16">
      <c r="A25" s="331"/>
      <c r="B25" s="331"/>
      <c r="C25" s="331"/>
      <c r="D25" s="331"/>
      <c r="E25" s="331"/>
      <c r="F25" s="331"/>
      <c r="G25" s="331"/>
    </row>
  </sheetData>
  <mergeCells count="6">
    <mergeCell ref="A2:G2"/>
    <mergeCell ref="A3:G3"/>
    <mergeCell ref="B5:D5"/>
    <mergeCell ref="E5:G5"/>
    <mergeCell ref="A25:G25"/>
    <mergeCell ref="A4:G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48"/>
  <sheetViews>
    <sheetView showRuler="0" workbookViewId="0">
      <selection activeCell="A2" sqref="A2:C2"/>
    </sheetView>
  </sheetViews>
  <sheetFormatPr baseColWidth="10" defaultColWidth="12.83203125" defaultRowHeight="13"/>
  <cols>
    <col min="1" max="1" width="62.1640625" customWidth="1"/>
    <col min="2" max="3" width="16.83203125" customWidth="1"/>
  </cols>
  <sheetData>
    <row r="1" spans="1:3" ht="15.75" customHeight="1">
      <c r="A1" s="301" t="str">
        <f>HYPERLINK("#'Index'!A1","Back to index")</f>
        <v>Back to index</v>
      </c>
    </row>
    <row r="2" spans="1:3" ht="25.75" customHeight="1">
      <c r="A2" s="315" t="s">
        <v>63</v>
      </c>
      <c r="B2" s="316"/>
      <c r="C2" s="316"/>
    </row>
    <row r="3" spans="1:3" ht="22.5" customHeight="1">
      <c r="A3" s="317" t="s">
        <v>22</v>
      </c>
      <c r="B3" s="316"/>
      <c r="C3" s="316"/>
    </row>
    <row r="4" spans="1:3" ht="13" customHeight="1">
      <c r="A4" s="338"/>
      <c r="B4" s="338"/>
      <c r="C4" s="338"/>
    </row>
    <row r="5" spans="1:3" ht="22.5" customHeight="1">
      <c r="A5" s="15" t="s">
        <v>240</v>
      </c>
      <c r="B5" s="39" t="s">
        <v>64</v>
      </c>
      <c r="C5" s="38" t="s">
        <v>246</v>
      </c>
    </row>
    <row r="6" spans="1:3" ht="15" customHeight="1">
      <c r="A6" s="6" t="s">
        <v>508</v>
      </c>
      <c r="B6" s="45">
        <v>27</v>
      </c>
      <c r="C6" s="5">
        <v>27</v>
      </c>
    </row>
    <row r="7" spans="1:3" ht="15" customHeight="1">
      <c r="A7" s="7" t="s">
        <v>509</v>
      </c>
      <c r="B7" s="47">
        <v>37</v>
      </c>
      <c r="C7" s="8">
        <v>34</v>
      </c>
    </row>
    <row r="8" spans="1:3" ht="15" customHeight="1">
      <c r="A8" s="7" t="s">
        <v>510</v>
      </c>
      <c r="B8" s="47">
        <v>12</v>
      </c>
      <c r="C8" s="8">
        <v>17</v>
      </c>
    </row>
    <row r="9" spans="1:3" ht="15" customHeight="1">
      <c r="A9" s="7" t="s">
        <v>511</v>
      </c>
      <c r="B9" s="47">
        <v>24</v>
      </c>
      <c r="C9" s="8">
        <v>22</v>
      </c>
    </row>
    <row r="10" spans="1:3" ht="15" customHeight="1">
      <c r="A10" s="10" t="s">
        <v>512</v>
      </c>
      <c r="B10" s="51">
        <v>100</v>
      </c>
      <c r="C10" s="84">
        <v>100</v>
      </c>
    </row>
    <row r="11" spans="1:3" ht="27.5" customHeight="1">
      <c r="A11" s="387"/>
      <c r="B11" s="387"/>
      <c r="C11" s="387"/>
    </row>
    <row r="12" spans="1:3" ht="15" customHeight="1"/>
    <row r="13" spans="1:3" ht="15" customHeight="1"/>
    <row r="14" spans="1:3" ht="15" customHeight="1"/>
    <row r="15" spans="1:3" ht="15" customHeight="1"/>
    <row r="16" spans="1: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mergeCells count="4">
    <mergeCell ref="A2:C2"/>
    <mergeCell ref="A3:C3"/>
    <mergeCell ref="A11:C11"/>
    <mergeCell ref="A4:C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13"/>
  <sheetViews>
    <sheetView showRuler="0" workbookViewId="0">
      <selection activeCell="A2" sqref="A2:C2"/>
    </sheetView>
  </sheetViews>
  <sheetFormatPr baseColWidth="10" defaultColWidth="12.83203125" defaultRowHeight="13"/>
  <cols>
    <col min="1" max="1" width="56.5" customWidth="1"/>
    <col min="2" max="4" width="16.83203125" customWidth="1"/>
  </cols>
  <sheetData>
    <row r="1" spans="1:3" ht="14">
      <c r="A1" s="301" t="str">
        <f>HYPERLINK("#'Index'!A1","Back to index")</f>
        <v>Back to index</v>
      </c>
    </row>
    <row r="2" spans="1:3" ht="25.75" customHeight="1">
      <c r="A2" s="315" t="s">
        <v>63</v>
      </c>
      <c r="B2" s="316"/>
      <c r="C2" s="316"/>
    </row>
    <row r="3" spans="1:3" ht="22.5" customHeight="1">
      <c r="A3" s="317" t="s">
        <v>23</v>
      </c>
      <c r="B3" s="316"/>
      <c r="C3" s="316"/>
    </row>
    <row r="4" spans="1:3">
      <c r="A4" s="338"/>
      <c r="B4" s="338"/>
      <c r="C4" s="338"/>
    </row>
    <row r="5" spans="1:3" ht="22.5" customHeight="1">
      <c r="A5" s="15" t="s">
        <v>467</v>
      </c>
      <c r="B5" s="39" t="s">
        <v>468</v>
      </c>
      <c r="C5" s="38" t="s">
        <v>469</v>
      </c>
    </row>
    <row r="6" spans="1:3" ht="17">
      <c r="A6" s="6" t="s">
        <v>513</v>
      </c>
      <c r="B6" s="59">
        <v>452</v>
      </c>
      <c r="C6" s="79">
        <v>199</v>
      </c>
    </row>
    <row r="7" spans="1:3" ht="17">
      <c r="A7" s="7" t="s">
        <v>514</v>
      </c>
      <c r="B7" s="61">
        <v>31</v>
      </c>
      <c r="C7" s="80">
        <v>36</v>
      </c>
    </row>
    <row r="8" spans="1:3" ht="17">
      <c r="A8" s="9" t="s">
        <v>515</v>
      </c>
      <c r="B8" s="131">
        <v>483</v>
      </c>
      <c r="C8" s="132">
        <v>235</v>
      </c>
    </row>
    <row r="9" spans="1:3" ht="17">
      <c r="A9" s="7" t="s">
        <v>516</v>
      </c>
      <c r="B9" s="61">
        <v>44</v>
      </c>
      <c r="C9" s="80">
        <v>135</v>
      </c>
    </row>
    <row r="10" spans="1:3" ht="17">
      <c r="A10" s="7" t="s">
        <v>517</v>
      </c>
      <c r="B10" s="61">
        <v>14</v>
      </c>
      <c r="C10" s="80">
        <v>12</v>
      </c>
    </row>
    <row r="11" spans="1:3" ht="17">
      <c r="A11" s="9" t="s">
        <v>518</v>
      </c>
      <c r="B11" s="131">
        <v>58</v>
      </c>
      <c r="C11" s="132">
        <v>148</v>
      </c>
    </row>
    <row r="12" spans="1:3" ht="17">
      <c r="A12" s="10" t="s">
        <v>519</v>
      </c>
      <c r="B12" s="146">
        <v>542</v>
      </c>
      <c r="C12" s="83">
        <v>383</v>
      </c>
    </row>
    <row r="13" spans="1:3" ht="16">
      <c r="A13" s="363"/>
      <c r="B13" s="363"/>
      <c r="C13" s="363"/>
    </row>
  </sheetData>
  <mergeCells count="4">
    <mergeCell ref="A2:C2"/>
    <mergeCell ref="A3:C3"/>
    <mergeCell ref="A13:C13"/>
    <mergeCell ref="A4:C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15"/>
  <sheetViews>
    <sheetView showRuler="0" workbookViewId="0">
      <selection activeCell="A2" sqref="A2:C2"/>
    </sheetView>
  </sheetViews>
  <sheetFormatPr baseColWidth="10" defaultColWidth="12.83203125" defaultRowHeight="13"/>
  <cols>
    <col min="1" max="1" width="56.5" customWidth="1"/>
    <col min="2" max="4" width="16.83203125" customWidth="1"/>
  </cols>
  <sheetData>
    <row r="1" spans="1:3" ht="14">
      <c r="A1" s="301" t="str">
        <f>HYPERLINK("#'Index'!A1","Back to index")</f>
        <v>Back to index</v>
      </c>
    </row>
    <row r="2" spans="1:3" ht="25.75" customHeight="1">
      <c r="A2" s="315" t="s">
        <v>63</v>
      </c>
      <c r="B2" s="316"/>
      <c r="C2" s="316"/>
    </row>
    <row r="3" spans="1:3" ht="22.5" customHeight="1">
      <c r="A3" s="317" t="s">
        <v>24</v>
      </c>
      <c r="B3" s="317"/>
      <c r="C3" s="317"/>
    </row>
    <row r="4" spans="1:3">
      <c r="A4" s="338"/>
      <c r="B4" s="338"/>
      <c r="C4" s="338"/>
    </row>
    <row r="5" spans="1:3" ht="22.5" customHeight="1">
      <c r="A5" s="15" t="s">
        <v>240</v>
      </c>
      <c r="B5" s="39" t="s">
        <v>468</v>
      </c>
      <c r="C5" s="38" t="s">
        <v>469</v>
      </c>
    </row>
    <row r="6" spans="1:3" ht="17">
      <c r="A6" s="6" t="s">
        <v>520</v>
      </c>
      <c r="B6" s="45">
        <v>40</v>
      </c>
      <c r="C6" s="5">
        <v>39</v>
      </c>
    </row>
    <row r="7" spans="1:3" ht="17">
      <c r="A7" s="7" t="s">
        <v>471</v>
      </c>
      <c r="B7" s="47">
        <v>45</v>
      </c>
      <c r="C7" s="8">
        <v>45</v>
      </c>
    </row>
    <row r="8" spans="1:3" ht="17">
      <c r="A8" s="7" t="s">
        <v>521</v>
      </c>
      <c r="B8" s="47">
        <v>11</v>
      </c>
      <c r="C8" s="8">
        <v>12</v>
      </c>
    </row>
    <row r="9" spans="1:3" ht="17">
      <c r="A9" s="7" t="s">
        <v>522</v>
      </c>
      <c r="B9" s="47">
        <v>4</v>
      </c>
      <c r="C9" s="8">
        <v>4</v>
      </c>
    </row>
    <row r="10" spans="1:3" ht="17">
      <c r="A10" s="9" t="s">
        <v>523</v>
      </c>
      <c r="B10" s="51">
        <v>100</v>
      </c>
      <c r="C10" s="103">
        <v>100</v>
      </c>
    </row>
    <row r="11" spans="1:3" ht="17">
      <c r="A11" s="7" t="s">
        <v>524</v>
      </c>
      <c r="B11" s="47">
        <v>57</v>
      </c>
      <c r="C11" s="8">
        <v>58</v>
      </c>
    </row>
    <row r="12" spans="1:3" ht="17">
      <c r="A12" s="7" t="s">
        <v>525</v>
      </c>
      <c r="B12" s="47">
        <v>11</v>
      </c>
      <c r="C12" s="8">
        <v>11</v>
      </c>
    </row>
    <row r="13" spans="1:3" ht="17">
      <c r="A13" s="7" t="s">
        <v>526</v>
      </c>
      <c r="B13" s="47">
        <v>33</v>
      </c>
      <c r="C13" s="8">
        <v>31</v>
      </c>
    </row>
    <row r="14" spans="1:3" ht="17">
      <c r="A14" s="10" t="s">
        <v>527</v>
      </c>
      <c r="B14" s="53">
        <v>100</v>
      </c>
      <c r="C14" s="84">
        <v>100</v>
      </c>
    </row>
    <row r="15" spans="1:3" ht="16">
      <c r="A15" s="363"/>
      <c r="B15" s="363"/>
      <c r="C15" s="363"/>
    </row>
  </sheetData>
  <mergeCells count="4">
    <mergeCell ref="A2:C2"/>
    <mergeCell ref="A3:C3"/>
    <mergeCell ref="A15:C15"/>
    <mergeCell ref="A4:C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1"/>
  <sheetViews>
    <sheetView showRuler="0" workbookViewId="0">
      <selection activeCell="A2" sqref="A2:B2"/>
    </sheetView>
  </sheetViews>
  <sheetFormatPr baseColWidth="10" defaultColWidth="12.83203125" defaultRowHeight="13"/>
  <cols>
    <col min="1" max="1" width="31.5" customWidth="1"/>
    <col min="2" max="2" width="88.5" customWidth="1"/>
  </cols>
  <sheetData>
    <row r="1" spans="1:2" ht="14">
      <c r="A1" s="301" t="str">
        <f>HYPERLINK("#'Index'!A1","Back to index")</f>
        <v>Back to index</v>
      </c>
    </row>
    <row r="2" spans="1:2" ht="25.75" customHeight="1">
      <c r="A2" s="315" t="s">
        <v>63</v>
      </c>
      <c r="B2" s="316"/>
    </row>
    <row r="3" spans="1:2" ht="22.5" customHeight="1">
      <c r="A3" s="317" t="s">
        <v>2</v>
      </c>
      <c r="B3" s="316"/>
    </row>
    <row r="5" spans="1:2" ht="17">
      <c r="A5" s="15" t="s">
        <v>113</v>
      </c>
      <c r="B5" s="15" t="s">
        <v>114</v>
      </c>
    </row>
    <row r="6" spans="1:2" ht="35" customHeight="1">
      <c r="A6" s="322" t="s">
        <v>115</v>
      </c>
      <c r="B6" s="16" t="s">
        <v>116</v>
      </c>
    </row>
    <row r="7" spans="1:2" ht="35" customHeight="1">
      <c r="A7" s="316"/>
      <c r="B7" s="17" t="s">
        <v>117</v>
      </c>
    </row>
    <row r="8" spans="1:2" ht="34">
      <c r="A8" s="18" t="s">
        <v>118</v>
      </c>
      <c r="B8" s="17" t="s">
        <v>119</v>
      </c>
    </row>
    <row r="9" spans="1:2" ht="17">
      <c r="A9" s="18" t="s">
        <v>120</v>
      </c>
      <c r="B9" s="17" t="s">
        <v>121</v>
      </c>
    </row>
    <row r="10" spans="1:2" ht="34">
      <c r="A10" s="19" t="s">
        <v>122</v>
      </c>
      <c r="B10" s="17" t="s">
        <v>123</v>
      </c>
    </row>
    <row r="11" spans="1:2" ht="34">
      <c r="A11" s="21"/>
      <c r="B11" s="17" t="s">
        <v>124</v>
      </c>
    </row>
    <row r="12" spans="1:2" ht="34">
      <c r="A12" s="18" t="s">
        <v>125</v>
      </c>
      <c r="B12" s="17" t="s">
        <v>126</v>
      </c>
    </row>
    <row r="13" spans="1:2" ht="34">
      <c r="A13" s="19" t="s">
        <v>127</v>
      </c>
      <c r="B13" s="17" t="s">
        <v>128</v>
      </c>
    </row>
    <row r="14" spans="1:2" ht="17">
      <c r="A14" s="21"/>
      <c r="B14" s="17" t="s">
        <v>129</v>
      </c>
    </row>
    <row r="15" spans="1:2" ht="34">
      <c r="A15" s="18" t="s">
        <v>130</v>
      </c>
      <c r="B15" s="17" t="s">
        <v>131</v>
      </c>
    </row>
    <row r="16" spans="1:2" ht="36" customHeight="1">
      <c r="A16" s="323" t="s">
        <v>132</v>
      </c>
      <c r="B16" s="17" t="s">
        <v>133</v>
      </c>
    </row>
    <row r="17" spans="1:2" ht="35" customHeight="1">
      <c r="A17" s="316"/>
      <c r="B17" s="17" t="s">
        <v>134</v>
      </c>
    </row>
    <row r="18" spans="1:2" ht="51" customHeight="1">
      <c r="A18" s="316"/>
      <c r="B18" s="17" t="s">
        <v>135</v>
      </c>
    </row>
    <row r="19" spans="1:2" ht="17">
      <c r="A19" s="324" t="s">
        <v>136</v>
      </c>
      <c r="B19" s="17" t="s">
        <v>137</v>
      </c>
    </row>
    <row r="20" spans="1:2" ht="17">
      <c r="A20" s="325"/>
      <c r="B20" s="20" t="s">
        <v>138</v>
      </c>
    </row>
    <row r="21" spans="1:2">
      <c r="A21" s="22"/>
      <c r="B21" s="22"/>
    </row>
  </sheetData>
  <mergeCells count="5">
    <mergeCell ref="A2:B2"/>
    <mergeCell ref="A3:B3"/>
    <mergeCell ref="A6:A7"/>
    <mergeCell ref="A16:A18"/>
    <mergeCell ref="A19:A20"/>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23"/>
  <sheetViews>
    <sheetView showRuler="0" workbookViewId="0">
      <selection activeCell="A2" sqref="A2:G2"/>
    </sheetView>
  </sheetViews>
  <sheetFormatPr baseColWidth="10" defaultColWidth="12.83203125" defaultRowHeight="13"/>
  <cols>
    <col min="1" max="1" width="56.5" customWidth="1"/>
    <col min="2" max="2" width="18" customWidth="1"/>
    <col min="3" max="3" width="24.6640625" customWidth="1"/>
    <col min="4" max="5" width="18" customWidth="1"/>
    <col min="6" max="6" width="19.33203125" customWidth="1"/>
    <col min="7" max="7" width="18" customWidth="1"/>
  </cols>
  <sheetData>
    <row r="1" spans="1:7" ht="14">
      <c r="A1" s="301" t="str">
        <f>HYPERLINK("#'Index'!A1","Back to index")</f>
        <v>Back to index</v>
      </c>
    </row>
    <row r="2" spans="1:7" ht="25.75" customHeight="1">
      <c r="A2" s="315" t="s">
        <v>63</v>
      </c>
      <c r="B2" s="316"/>
      <c r="C2" s="316"/>
      <c r="D2" s="316"/>
      <c r="E2" s="316"/>
      <c r="F2" s="316"/>
      <c r="G2" s="316"/>
    </row>
    <row r="3" spans="1:7" ht="22.5" customHeight="1">
      <c r="A3" s="317" t="s">
        <v>25</v>
      </c>
      <c r="B3" s="316"/>
      <c r="C3" s="316"/>
      <c r="D3" s="316"/>
      <c r="E3" s="316"/>
      <c r="F3" s="316"/>
      <c r="G3" s="316"/>
    </row>
    <row r="4" spans="1:7">
      <c r="A4" s="338"/>
      <c r="B4" s="338"/>
      <c r="C4" s="338"/>
      <c r="D4" s="338"/>
      <c r="E4" s="338"/>
      <c r="F4" s="338"/>
      <c r="G4" s="338"/>
    </row>
    <row r="5" spans="1:7" ht="22.5" customHeight="1">
      <c r="A5" s="140"/>
      <c r="B5" s="389" t="s">
        <v>468</v>
      </c>
      <c r="C5" s="389"/>
      <c r="D5" s="389"/>
      <c r="E5" s="349" t="s">
        <v>469</v>
      </c>
      <c r="F5" s="349"/>
      <c r="G5" s="349"/>
    </row>
    <row r="6" spans="1:7" ht="34">
      <c r="A6" s="15" t="s">
        <v>467</v>
      </c>
      <c r="B6" s="142" t="s">
        <v>488</v>
      </c>
      <c r="C6" s="142" t="s">
        <v>1043</v>
      </c>
      <c r="D6" s="142" t="s">
        <v>490</v>
      </c>
      <c r="E6" s="143" t="s">
        <v>488</v>
      </c>
      <c r="F6" s="143" t="s">
        <v>1043</v>
      </c>
      <c r="G6" s="143" t="s">
        <v>490</v>
      </c>
    </row>
    <row r="7" spans="1:7" ht="17">
      <c r="A7" s="4" t="s">
        <v>523</v>
      </c>
      <c r="B7" s="97"/>
      <c r="C7" s="97"/>
      <c r="D7" s="97"/>
      <c r="E7" s="101"/>
      <c r="F7" s="101"/>
      <c r="G7" s="101"/>
    </row>
    <row r="8" spans="1:7" ht="17">
      <c r="A8" s="7" t="s">
        <v>520</v>
      </c>
      <c r="B8" s="61">
        <v>3527</v>
      </c>
      <c r="C8" s="61">
        <v>-26</v>
      </c>
      <c r="D8" s="61">
        <v>3501</v>
      </c>
      <c r="E8" s="80">
        <v>3051</v>
      </c>
      <c r="F8" s="80">
        <v>-29</v>
      </c>
      <c r="G8" s="80">
        <v>3022</v>
      </c>
    </row>
    <row r="9" spans="1:7" ht="17">
      <c r="A9" s="7" t="s">
        <v>528</v>
      </c>
      <c r="B9" s="61">
        <v>29</v>
      </c>
      <c r="C9" s="61">
        <v>2</v>
      </c>
      <c r="D9" s="61">
        <v>31</v>
      </c>
      <c r="E9" s="80">
        <v>18</v>
      </c>
      <c r="F9" s="80">
        <v>2</v>
      </c>
      <c r="G9" s="80">
        <v>20</v>
      </c>
    </row>
    <row r="10" spans="1:7" ht="17">
      <c r="A10" s="7" t="s">
        <v>529</v>
      </c>
      <c r="B10" s="61">
        <v>39</v>
      </c>
      <c r="C10" s="61">
        <v>0</v>
      </c>
      <c r="D10" s="61">
        <v>39</v>
      </c>
      <c r="E10" s="80">
        <v>37</v>
      </c>
      <c r="F10" s="80">
        <v>-1</v>
      </c>
      <c r="G10" s="80">
        <v>36</v>
      </c>
    </row>
    <row r="11" spans="1:7" ht="17">
      <c r="A11" s="7" t="s">
        <v>471</v>
      </c>
      <c r="B11" s="61">
        <v>4012</v>
      </c>
      <c r="C11" s="61">
        <v>-1832</v>
      </c>
      <c r="D11" s="61">
        <v>2180</v>
      </c>
      <c r="E11" s="80">
        <v>3546</v>
      </c>
      <c r="F11" s="80">
        <v>-1458</v>
      </c>
      <c r="G11" s="80">
        <v>2087</v>
      </c>
    </row>
    <row r="12" spans="1:7" ht="17">
      <c r="A12" s="7" t="s">
        <v>530</v>
      </c>
      <c r="B12" s="61">
        <v>911</v>
      </c>
      <c r="C12" s="61">
        <v>-2</v>
      </c>
      <c r="D12" s="61">
        <v>909</v>
      </c>
      <c r="E12" s="80">
        <v>872</v>
      </c>
      <c r="F12" s="80">
        <v>-11</v>
      </c>
      <c r="G12" s="80">
        <v>861</v>
      </c>
    </row>
    <row r="13" spans="1:7" ht="17">
      <c r="A13" s="7" t="s">
        <v>522</v>
      </c>
      <c r="B13" s="61">
        <v>319</v>
      </c>
      <c r="C13" s="61">
        <v>0</v>
      </c>
      <c r="D13" s="61">
        <v>319</v>
      </c>
      <c r="E13" s="80">
        <v>322</v>
      </c>
      <c r="F13" s="80">
        <v>0</v>
      </c>
      <c r="G13" s="80">
        <v>322</v>
      </c>
    </row>
    <row r="14" spans="1:7" ht="17">
      <c r="A14" s="9" t="s">
        <v>531</v>
      </c>
      <c r="B14" s="131">
        <v>8838</v>
      </c>
      <c r="C14" s="131">
        <v>-1859</v>
      </c>
      <c r="D14" s="131">
        <v>6980</v>
      </c>
      <c r="E14" s="132">
        <v>7846</v>
      </c>
      <c r="F14" s="132">
        <v>-1497</v>
      </c>
      <c r="G14" s="132">
        <v>6349</v>
      </c>
    </row>
    <row r="15" spans="1:7" ht="17">
      <c r="A15" s="9" t="s">
        <v>527</v>
      </c>
      <c r="B15" s="51"/>
      <c r="C15" s="51"/>
      <c r="D15" s="51"/>
      <c r="E15" s="103"/>
      <c r="F15" s="103"/>
      <c r="G15" s="103"/>
    </row>
    <row r="16" spans="1:7" ht="17">
      <c r="A16" s="7" t="s">
        <v>524</v>
      </c>
      <c r="B16" s="61">
        <v>5015</v>
      </c>
      <c r="C16" s="61">
        <v>-1283</v>
      </c>
      <c r="D16" s="61">
        <v>3732</v>
      </c>
      <c r="E16" s="80">
        <v>4556</v>
      </c>
      <c r="F16" s="80">
        <v>-1004</v>
      </c>
      <c r="G16" s="80">
        <v>3552</v>
      </c>
    </row>
    <row r="17" spans="1:7" ht="17">
      <c r="A17" s="7" t="s">
        <v>528</v>
      </c>
      <c r="B17" s="61">
        <v>681</v>
      </c>
      <c r="C17" s="61">
        <v>-505</v>
      </c>
      <c r="D17" s="61">
        <v>176</v>
      </c>
      <c r="E17" s="80">
        <v>570</v>
      </c>
      <c r="F17" s="80">
        <v>-410</v>
      </c>
      <c r="G17" s="80">
        <v>158</v>
      </c>
    </row>
    <row r="18" spans="1:7" ht="17">
      <c r="A18" s="7" t="s">
        <v>532</v>
      </c>
      <c r="B18" s="61">
        <v>183</v>
      </c>
      <c r="C18" s="61">
        <v>0</v>
      </c>
      <c r="D18" s="61">
        <v>183</v>
      </c>
      <c r="E18" s="80">
        <v>189</v>
      </c>
      <c r="F18" s="80">
        <v>0</v>
      </c>
      <c r="G18" s="80">
        <v>189</v>
      </c>
    </row>
    <row r="19" spans="1:7" ht="17">
      <c r="A19" s="7" t="s">
        <v>533</v>
      </c>
      <c r="B19" s="61">
        <v>587</v>
      </c>
      <c r="C19" s="61">
        <v>-70</v>
      </c>
      <c r="D19" s="61">
        <v>517</v>
      </c>
      <c r="E19" s="80">
        <v>323</v>
      </c>
      <c r="F19" s="80">
        <v>-81</v>
      </c>
      <c r="G19" s="80">
        <v>243</v>
      </c>
    </row>
    <row r="20" spans="1:7" ht="17">
      <c r="A20" s="7" t="s">
        <v>534</v>
      </c>
      <c r="B20" s="61">
        <v>72</v>
      </c>
      <c r="C20" s="61">
        <v>0</v>
      </c>
      <c r="D20" s="61">
        <v>72</v>
      </c>
      <c r="E20" s="80">
        <v>73</v>
      </c>
      <c r="F20" s="80">
        <v>0</v>
      </c>
      <c r="G20" s="80">
        <v>73</v>
      </c>
    </row>
    <row r="21" spans="1:7" ht="17">
      <c r="A21" s="7" t="s">
        <v>535</v>
      </c>
      <c r="B21" s="61">
        <v>2300</v>
      </c>
      <c r="C21" s="61">
        <v>-1</v>
      </c>
      <c r="D21" s="61">
        <v>2299</v>
      </c>
      <c r="E21" s="80">
        <v>2135</v>
      </c>
      <c r="F21" s="80">
        <v>-2</v>
      </c>
      <c r="G21" s="80">
        <v>2133</v>
      </c>
    </row>
    <row r="22" spans="1:7" ht="17">
      <c r="A22" s="10" t="s">
        <v>536</v>
      </c>
      <c r="B22" s="146">
        <v>8838</v>
      </c>
      <c r="C22" s="146">
        <v>-1859</v>
      </c>
      <c r="D22" s="146">
        <v>6980</v>
      </c>
      <c r="E22" s="83">
        <v>7846</v>
      </c>
      <c r="F22" s="83">
        <v>-1497</v>
      </c>
      <c r="G22" s="83">
        <v>6349</v>
      </c>
    </row>
    <row r="23" spans="1:7" ht="20" customHeight="1">
      <c r="A23" s="387" t="s">
        <v>1044</v>
      </c>
      <c r="B23" s="387"/>
      <c r="C23" s="387"/>
      <c r="D23" s="387"/>
      <c r="E23" s="387"/>
      <c r="F23" s="387"/>
      <c r="G23" s="387"/>
    </row>
  </sheetData>
  <mergeCells count="6">
    <mergeCell ref="A2:G2"/>
    <mergeCell ref="A3:G3"/>
    <mergeCell ref="B5:D5"/>
    <mergeCell ref="E5:G5"/>
    <mergeCell ref="A23:G23"/>
    <mergeCell ref="A4:G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C19"/>
  <sheetViews>
    <sheetView showRuler="0" workbookViewId="0">
      <selection activeCell="A2" sqref="A2:C2"/>
    </sheetView>
  </sheetViews>
  <sheetFormatPr baseColWidth="10" defaultColWidth="12.83203125" defaultRowHeight="13"/>
  <cols>
    <col min="1" max="1" width="72.83203125" customWidth="1"/>
    <col min="2" max="10" width="16.83203125" customWidth="1"/>
  </cols>
  <sheetData>
    <row r="1" spans="1:3" ht="14">
      <c r="A1" s="301" t="str">
        <f>HYPERLINK("#'Index'!A1","Back to index")</f>
        <v>Back to index</v>
      </c>
    </row>
    <row r="2" spans="1:3" ht="25.75" customHeight="1">
      <c r="A2" s="315" t="s">
        <v>63</v>
      </c>
      <c r="B2" s="316"/>
      <c r="C2" s="316"/>
    </row>
    <row r="3" spans="1:3" ht="22.5" customHeight="1">
      <c r="A3" s="317" t="s">
        <v>26</v>
      </c>
      <c r="B3" s="316"/>
      <c r="C3" s="316"/>
    </row>
    <row r="4" spans="1:3">
      <c r="A4" s="338"/>
      <c r="B4" s="338"/>
      <c r="C4" s="338"/>
    </row>
    <row r="5" spans="1:3" ht="22.5" customHeight="1">
      <c r="A5" s="15" t="s">
        <v>467</v>
      </c>
      <c r="B5" s="39" t="s">
        <v>468</v>
      </c>
      <c r="C5" s="38" t="s">
        <v>469</v>
      </c>
    </row>
    <row r="6" spans="1:3" ht="17">
      <c r="A6" s="6" t="s">
        <v>470</v>
      </c>
      <c r="B6" s="59">
        <v>3492</v>
      </c>
      <c r="C6" s="79">
        <v>3011</v>
      </c>
    </row>
    <row r="7" spans="1:3" ht="17">
      <c r="A7" s="7" t="s">
        <v>471</v>
      </c>
      <c r="B7" s="61">
        <v>2180</v>
      </c>
      <c r="C7" s="80">
        <v>2087</v>
      </c>
    </row>
    <row r="8" spans="1:3" ht="17">
      <c r="A8" s="7" t="s">
        <v>472</v>
      </c>
      <c r="B8" s="61">
        <v>618</v>
      </c>
      <c r="C8" s="80">
        <v>628</v>
      </c>
    </row>
    <row r="9" spans="1:3" ht="17">
      <c r="A9" s="7" t="s">
        <v>473</v>
      </c>
      <c r="B9" s="61">
        <v>360</v>
      </c>
      <c r="C9" s="80">
        <v>289</v>
      </c>
    </row>
    <row r="10" spans="1:3" ht="17">
      <c r="A10" s="7" t="s">
        <v>474</v>
      </c>
      <c r="B10" s="61">
        <v>-1790</v>
      </c>
      <c r="C10" s="80">
        <v>-1584</v>
      </c>
    </row>
    <row r="11" spans="1:3" ht="17">
      <c r="A11" s="7" t="s">
        <v>475</v>
      </c>
      <c r="B11" s="61">
        <v>-772</v>
      </c>
      <c r="C11" s="80">
        <v>-691</v>
      </c>
    </row>
    <row r="12" spans="1:3" ht="17">
      <c r="A12" s="9" t="s">
        <v>476</v>
      </c>
      <c r="B12" s="131">
        <v>4090</v>
      </c>
      <c r="C12" s="132">
        <v>3741</v>
      </c>
    </row>
    <row r="13" spans="1:3" ht="17">
      <c r="A13" s="7" t="s">
        <v>477</v>
      </c>
      <c r="B13" s="61">
        <v>355</v>
      </c>
      <c r="C13" s="80">
        <v>413</v>
      </c>
    </row>
    <row r="14" spans="1:3" ht="17">
      <c r="A14" s="7" t="s">
        <v>478</v>
      </c>
      <c r="B14" s="61">
        <v>3</v>
      </c>
      <c r="C14" s="80">
        <v>-3</v>
      </c>
    </row>
    <row r="15" spans="1:3" ht="17">
      <c r="A15" s="9" t="s">
        <v>479</v>
      </c>
      <c r="B15" s="131">
        <v>358</v>
      </c>
      <c r="C15" s="132">
        <v>411</v>
      </c>
    </row>
    <row r="16" spans="1:3" ht="17">
      <c r="A16" s="7" t="s">
        <v>480</v>
      </c>
      <c r="B16" s="61">
        <v>3</v>
      </c>
      <c r="C16" s="80">
        <v>20</v>
      </c>
    </row>
    <row r="17" spans="1:3" ht="17">
      <c r="A17" s="9" t="s">
        <v>481</v>
      </c>
      <c r="B17" s="131">
        <v>360</v>
      </c>
      <c r="C17" s="132">
        <v>430</v>
      </c>
    </row>
    <row r="18" spans="1:3" ht="17">
      <c r="A18" s="10" t="s">
        <v>482</v>
      </c>
      <c r="B18" s="147">
        <v>8.8000000000000009E-2</v>
      </c>
      <c r="C18" s="148">
        <v>0.115</v>
      </c>
    </row>
    <row r="19" spans="1:3" ht="16">
      <c r="A19" s="365"/>
      <c r="B19" s="365"/>
      <c r="C19" s="365"/>
    </row>
  </sheetData>
  <mergeCells count="4">
    <mergeCell ref="A2:C2"/>
    <mergeCell ref="A3:C3"/>
    <mergeCell ref="A19:C19"/>
    <mergeCell ref="A4:C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7"/>
  <sheetViews>
    <sheetView showRuler="0" workbookViewId="0">
      <selection activeCell="A2" sqref="A2:C2"/>
    </sheetView>
  </sheetViews>
  <sheetFormatPr baseColWidth="10" defaultColWidth="12.83203125" defaultRowHeight="13"/>
  <cols>
    <col min="1" max="1" width="56.5" customWidth="1"/>
    <col min="2" max="3" width="16.83203125" customWidth="1"/>
  </cols>
  <sheetData>
    <row r="1" spans="1:3" ht="14">
      <c r="A1" s="301" t="str">
        <f>HYPERLINK("#'Index'!A1","Back to index")</f>
        <v>Back to index</v>
      </c>
    </row>
    <row r="2" spans="1:3" ht="25.75" customHeight="1">
      <c r="A2" s="315" t="s">
        <v>63</v>
      </c>
      <c r="B2" s="316"/>
      <c r="C2" s="316"/>
    </row>
    <row r="3" spans="1:3" ht="22.5" customHeight="1">
      <c r="A3" s="317" t="s">
        <v>27</v>
      </c>
      <c r="B3" s="316"/>
      <c r="C3" s="316"/>
    </row>
    <row r="4" spans="1:3">
      <c r="A4" s="338"/>
      <c r="B4" s="338"/>
      <c r="C4" s="338"/>
    </row>
    <row r="5" spans="1:3" ht="22.5" customHeight="1">
      <c r="A5" s="15"/>
      <c r="B5" s="39" t="s">
        <v>468</v>
      </c>
      <c r="C5" s="38" t="s">
        <v>469</v>
      </c>
    </row>
    <row r="6" spans="1:3" ht="17">
      <c r="A6" s="149" t="s">
        <v>537</v>
      </c>
      <c r="B6" s="150">
        <v>0.4</v>
      </c>
      <c r="C6" s="151">
        <v>0.1</v>
      </c>
    </row>
    <row r="7" spans="1:3" ht="20" customHeight="1">
      <c r="A7" s="387" t="s">
        <v>1068</v>
      </c>
      <c r="B7" s="387"/>
      <c r="C7" s="387"/>
    </row>
  </sheetData>
  <mergeCells count="4">
    <mergeCell ref="A2:C2"/>
    <mergeCell ref="A3:C3"/>
    <mergeCell ref="A7:C7"/>
    <mergeCell ref="A4:C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14"/>
  <sheetViews>
    <sheetView showRuler="0" workbookViewId="0">
      <selection activeCell="A2" sqref="A2:C2"/>
    </sheetView>
  </sheetViews>
  <sheetFormatPr baseColWidth="10" defaultColWidth="12.83203125" defaultRowHeight="13"/>
  <cols>
    <col min="1" max="1" width="63.5" customWidth="1"/>
    <col min="2" max="2" width="18.33203125" customWidth="1"/>
    <col min="3" max="3" width="17.6640625" customWidth="1"/>
    <col min="4" max="4" width="16.83203125" customWidth="1"/>
  </cols>
  <sheetData>
    <row r="1" spans="1:3" ht="14">
      <c r="A1" s="301" t="str">
        <f>HYPERLINK("#'Index'!A1","Back to index")</f>
        <v>Back to index</v>
      </c>
    </row>
    <row r="2" spans="1:3" ht="25.75" customHeight="1">
      <c r="A2" s="315" t="s">
        <v>63</v>
      </c>
      <c r="B2" s="316"/>
      <c r="C2" s="316"/>
    </row>
    <row r="3" spans="1:3" ht="22.5" customHeight="1">
      <c r="A3" s="317" t="s">
        <v>538</v>
      </c>
      <c r="B3" s="316"/>
      <c r="C3" s="316"/>
    </row>
    <row r="4" spans="1:3">
      <c r="A4" s="338"/>
      <c r="B4" s="338"/>
      <c r="C4" s="338"/>
    </row>
    <row r="5" spans="1:3" ht="33.25" customHeight="1">
      <c r="A5" s="15" t="s">
        <v>467</v>
      </c>
      <c r="B5" s="39" t="s">
        <v>539</v>
      </c>
      <c r="C5" s="38" t="s">
        <v>540</v>
      </c>
    </row>
    <row r="6" spans="1:3" ht="17" customHeight="1">
      <c r="A6" s="6" t="s">
        <v>541</v>
      </c>
      <c r="B6" s="59">
        <v>677</v>
      </c>
      <c r="C6" s="79">
        <v>537</v>
      </c>
    </row>
    <row r="7" spans="1:3" ht="17">
      <c r="A7" s="7" t="s">
        <v>542</v>
      </c>
      <c r="B7" s="61">
        <v>-754</v>
      </c>
      <c r="C7" s="80">
        <v>-726</v>
      </c>
    </row>
    <row r="8" spans="1:3" ht="17">
      <c r="A8" s="7" t="s">
        <v>543</v>
      </c>
      <c r="B8" s="61">
        <v>-17</v>
      </c>
      <c r="C8" s="80">
        <v>-30</v>
      </c>
    </row>
    <row r="9" spans="1:3" ht="17">
      <c r="A9" s="7" t="s">
        <v>544</v>
      </c>
      <c r="B9" s="61">
        <v>-66</v>
      </c>
      <c r="C9" s="80">
        <v>-61</v>
      </c>
    </row>
    <row r="10" spans="1:3" ht="17">
      <c r="A10" s="9" t="s">
        <v>545</v>
      </c>
      <c r="B10" s="131">
        <v>-160</v>
      </c>
      <c r="C10" s="132">
        <v>-280</v>
      </c>
    </row>
    <row r="11" spans="1:3" ht="17">
      <c r="A11" s="7" t="s">
        <v>546</v>
      </c>
      <c r="B11" s="61">
        <v>157</v>
      </c>
      <c r="C11" s="80">
        <v>109</v>
      </c>
    </row>
    <row r="12" spans="1:3" ht="17">
      <c r="A12" s="9" t="s">
        <v>547</v>
      </c>
      <c r="B12" s="131">
        <v>-4</v>
      </c>
      <c r="C12" s="132">
        <v>-171</v>
      </c>
    </row>
    <row r="13" spans="1:3" ht="17">
      <c r="A13" s="10" t="s">
        <v>548</v>
      </c>
      <c r="B13" s="146">
        <v>319</v>
      </c>
      <c r="C13" s="83">
        <v>322</v>
      </c>
    </row>
    <row r="14" spans="1:3" ht="22.5" customHeight="1">
      <c r="A14" s="387"/>
      <c r="B14" s="387"/>
      <c r="C14" s="387"/>
    </row>
  </sheetData>
  <mergeCells count="4">
    <mergeCell ref="A2:C2"/>
    <mergeCell ref="A3:C3"/>
    <mergeCell ref="A14:C14"/>
    <mergeCell ref="A4:C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9"/>
  <sheetViews>
    <sheetView showRuler="0" workbookViewId="0">
      <selection activeCell="A2" sqref="A2:C2"/>
    </sheetView>
  </sheetViews>
  <sheetFormatPr baseColWidth="10" defaultColWidth="12.83203125" defaultRowHeight="13"/>
  <cols>
    <col min="1" max="1" width="56.5" customWidth="1"/>
    <col min="2" max="3" width="16.83203125" customWidth="1"/>
  </cols>
  <sheetData>
    <row r="1" spans="1:3" ht="14">
      <c r="A1" s="301" t="str">
        <f>HYPERLINK("#'Index'!A1","Back to index")</f>
        <v>Back to index</v>
      </c>
    </row>
    <row r="2" spans="1:3" ht="25.75" customHeight="1">
      <c r="A2" s="315" t="s">
        <v>63</v>
      </c>
      <c r="B2" s="316"/>
      <c r="C2" s="316"/>
    </row>
    <row r="3" spans="1:3" ht="22.5" customHeight="1">
      <c r="A3" s="317" t="s">
        <v>28</v>
      </c>
      <c r="B3" s="316"/>
      <c r="C3" s="316"/>
    </row>
    <row r="4" spans="1:3">
      <c r="A4" s="338"/>
      <c r="B4" s="338"/>
      <c r="C4" s="338"/>
    </row>
    <row r="5" spans="1:3" ht="22.5" customHeight="1">
      <c r="A5" s="15" t="s">
        <v>467</v>
      </c>
      <c r="B5" s="39" t="s">
        <v>468</v>
      </c>
      <c r="C5" s="38" t="s">
        <v>469</v>
      </c>
    </row>
    <row r="6" spans="1:3" ht="17">
      <c r="A6" s="6" t="s">
        <v>522</v>
      </c>
      <c r="B6" s="59">
        <v>319</v>
      </c>
      <c r="C6" s="79">
        <v>322</v>
      </c>
    </row>
    <row r="7" spans="1:3" ht="17">
      <c r="A7" s="7" t="s">
        <v>1069</v>
      </c>
      <c r="B7" s="61">
        <v>542</v>
      </c>
      <c r="C7" s="80">
        <v>383</v>
      </c>
    </row>
    <row r="8" spans="1:3" ht="17">
      <c r="A8" s="10" t="s">
        <v>549</v>
      </c>
      <c r="B8" s="146">
        <v>-222</v>
      </c>
      <c r="C8" s="83">
        <v>-61</v>
      </c>
    </row>
    <row r="9" spans="1:3" ht="16">
      <c r="A9" s="363"/>
      <c r="B9" s="363"/>
      <c r="C9" s="363"/>
    </row>
  </sheetData>
  <mergeCells count="4">
    <mergeCell ref="A2:C2"/>
    <mergeCell ref="A3:C3"/>
    <mergeCell ref="A9:C9"/>
    <mergeCell ref="A4:C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15"/>
  <sheetViews>
    <sheetView showRuler="0" workbookViewId="0">
      <selection activeCell="A2" sqref="A2:C2"/>
    </sheetView>
  </sheetViews>
  <sheetFormatPr baseColWidth="10" defaultColWidth="12.83203125" defaultRowHeight="13"/>
  <cols>
    <col min="1" max="1" width="56.5" customWidth="1"/>
    <col min="2" max="3" width="16.83203125" customWidth="1"/>
  </cols>
  <sheetData>
    <row r="1" spans="1:3" ht="14">
      <c r="A1" s="301" t="str">
        <f>HYPERLINK("#'Index'!A1","Back to index")</f>
        <v>Back to index</v>
      </c>
    </row>
    <row r="2" spans="1:3" ht="25.75" customHeight="1">
      <c r="A2" s="315" t="s">
        <v>63</v>
      </c>
      <c r="B2" s="316"/>
      <c r="C2" s="316"/>
    </row>
    <row r="3" spans="1:3" ht="22.5" customHeight="1">
      <c r="A3" s="317" t="s">
        <v>29</v>
      </c>
      <c r="B3" s="316"/>
      <c r="C3" s="316"/>
    </row>
    <row r="4" spans="1:3">
      <c r="A4" s="338"/>
      <c r="B4" s="338"/>
      <c r="C4" s="338"/>
    </row>
    <row r="5" spans="1:3" ht="33.25" customHeight="1">
      <c r="A5" s="15" t="s">
        <v>467</v>
      </c>
      <c r="B5" s="39" t="s">
        <v>550</v>
      </c>
      <c r="C5" s="38" t="s">
        <v>551</v>
      </c>
    </row>
    <row r="6" spans="1:3" ht="17">
      <c r="A6" s="6" t="s">
        <v>552</v>
      </c>
      <c r="B6" s="59">
        <v>6196</v>
      </c>
      <c r="C6" s="79">
        <v>5834</v>
      </c>
    </row>
    <row r="7" spans="1:3" ht="17">
      <c r="A7" s="7" t="s">
        <v>553</v>
      </c>
      <c r="B7" s="61">
        <v>92</v>
      </c>
      <c r="C7" s="80">
        <v>146</v>
      </c>
    </row>
    <row r="8" spans="1:3" ht="17">
      <c r="A8" s="7" t="s">
        <v>554</v>
      </c>
      <c r="B8" s="61">
        <v>-65</v>
      </c>
      <c r="C8" s="80">
        <v>-65</v>
      </c>
    </row>
    <row r="9" spans="1:3" ht="17">
      <c r="A9" s="7" t="s">
        <v>555</v>
      </c>
      <c r="B9" s="61">
        <v>27</v>
      </c>
      <c r="C9" s="80">
        <v>81</v>
      </c>
    </row>
    <row r="10" spans="1:3" ht="17">
      <c r="A10" s="7" t="s">
        <v>218</v>
      </c>
      <c r="B10" s="61">
        <v>13</v>
      </c>
      <c r="C10" s="80">
        <v>79</v>
      </c>
    </row>
    <row r="11" spans="1:3" ht="17">
      <c r="A11" s="7" t="s">
        <v>556</v>
      </c>
      <c r="B11" s="61">
        <v>339</v>
      </c>
      <c r="C11" s="80">
        <v>388</v>
      </c>
    </row>
    <row r="12" spans="1:3" ht="17">
      <c r="A12" s="7" t="s">
        <v>241</v>
      </c>
      <c r="B12" s="152">
        <v>9.0000000000000011E-3</v>
      </c>
      <c r="C12" s="153">
        <v>5.5999999999999994E-2</v>
      </c>
    </row>
    <row r="13" spans="1:3" ht="17">
      <c r="A13" s="7" t="s">
        <v>557</v>
      </c>
      <c r="B13" s="61">
        <v>1628</v>
      </c>
      <c r="C13" s="80">
        <v>1419</v>
      </c>
    </row>
    <row r="14" spans="1:3" ht="17">
      <c r="A14" s="11" t="s">
        <v>558</v>
      </c>
      <c r="B14" s="64">
        <v>1992</v>
      </c>
      <c r="C14" s="154">
        <v>1848</v>
      </c>
    </row>
    <row r="15" spans="1:3" ht="16">
      <c r="A15" s="331"/>
      <c r="B15" s="331"/>
      <c r="C15" s="331"/>
    </row>
  </sheetData>
  <mergeCells count="4">
    <mergeCell ref="A2:C2"/>
    <mergeCell ref="A3:C3"/>
    <mergeCell ref="A15:C15"/>
    <mergeCell ref="A4:C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49"/>
  <sheetViews>
    <sheetView showRuler="0" workbookViewId="0">
      <selection activeCell="A2" sqref="A2:C2"/>
    </sheetView>
  </sheetViews>
  <sheetFormatPr baseColWidth="10" defaultColWidth="12.83203125" defaultRowHeight="13"/>
  <cols>
    <col min="1" max="1" width="56.5" customWidth="1"/>
    <col min="2" max="3" width="16.83203125" customWidth="1"/>
  </cols>
  <sheetData>
    <row r="1" spans="1:3" ht="16.75" customHeight="1">
      <c r="A1" s="301" t="str">
        <f>HYPERLINK("#'Index'!A1","Back to index")</f>
        <v>Back to index</v>
      </c>
    </row>
    <row r="2" spans="1:3" ht="24" customHeight="1">
      <c r="A2" s="315" t="s">
        <v>63</v>
      </c>
      <c r="B2" s="316"/>
      <c r="C2" s="316"/>
    </row>
    <row r="3" spans="1:3" ht="23.25" customHeight="1">
      <c r="A3" s="317" t="s">
        <v>30</v>
      </c>
      <c r="B3" s="316"/>
      <c r="C3" s="316"/>
    </row>
    <row r="4" spans="1:3" ht="17.5" customHeight="1">
      <c r="A4" s="338"/>
      <c r="B4" s="338"/>
      <c r="C4" s="338"/>
    </row>
    <row r="5" spans="1:3" ht="33.25" customHeight="1">
      <c r="A5" s="15" t="s">
        <v>467</v>
      </c>
      <c r="B5" s="39" t="s">
        <v>550</v>
      </c>
      <c r="C5" s="38" t="s">
        <v>551</v>
      </c>
    </row>
    <row r="6" spans="1:3" ht="15" customHeight="1">
      <c r="A6" s="6" t="s">
        <v>552</v>
      </c>
      <c r="B6" s="238">
        <v>17958</v>
      </c>
      <c r="C6" s="58">
        <v>17278</v>
      </c>
    </row>
    <row r="7" spans="1:3" ht="15" customHeight="1">
      <c r="A7" s="7" t="s">
        <v>553</v>
      </c>
      <c r="B7" s="239">
        <v>573</v>
      </c>
      <c r="C7" s="60">
        <v>584</v>
      </c>
    </row>
    <row r="8" spans="1:3" ht="15" customHeight="1">
      <c r="A8" s="7" t="s">
        <v>554</v>
      </c>
      <c r="B8" s="240">
        <v>-159</v>
      </c>
      <c r="C8" s="155">
        <v>-141</v>
      </c>
    </row>
    <row r="9" spans="1:3" ht="15" customHeight="1">
      <c r="A9" s="7" t="s">
        <v>555</v>
      </c>
      <c r="B9" s="239">
        <v>415</v>
      </c>
      <c r="C9" s="60">
        <v>443</v>
      </c>
    </row>
    <row r="10" spans="1:3" ht="15" customHeight="1">
      <c r="A10" s="7" t="s">
        <v>559</v>
      </c>
      <c r="B10" s="239">
        <v>446</v>
      </c>
      <c r="C10" s="60">
        <v>458</v>
      </c>
    </row>
    <row r="11" spans="1:3" ht="15" customHeight="1">
      <c r="A11" s="7" t="s">
        <v>556</v>
      </c>
      <c r="B11" s="239">
        <v>431</v>
      </c>
      <c r="C11" s="60">
        <v>467</v>
      </c>
    </row>
    <row r="12" spans="1:3" ht="15" customHeight="1">
      <c r="A12" s="7" t="s">
        <v>241</v>
      </c>
      <c r="B12" s="241">
        <v>0.182</v>
      </c>
      <c r="C12" s="111">
        <v>0.19600000000000001</v>
      </c>
    </row>
    <row r="13" spans="1:3" ht="15" customHeight="1">
      <c r="A13" s="7" t="s">
        <v>557</v>
      </c>
      <c r="B13" s="239">
        <v>2355</v>
      </c>
      <c r="C13" s="60">
        <v>2358</v>
      </c>
    </row>
    <row r="14" spans="1:3" ht="15" customHeight="1">
      <c r="A14" s="11" t="s">
        <v>558</v>
      </c>
      <c r="B14" s="242">
        <v>4377</v>
      </c>
      <c r="C14" s="62">
        <v>4731</v>
      </c>
    </row>
    <row r="15" spans="1:3" ht="22.5" customHeight="1">
      <c r="A15" s="342" t="s">
        <v>1070</v>
      </c>
      <c r="B15" s="342"/>
      <c r="C15" s="342"/>
    </row>
    <row r="16" spans="1: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mergeCells count="4">
    <mergeCell ref="A2:C2"/>
    <mergeCell ref="A3:C3"/>
    <mergeCell ref="A15:C15"/>
    <mergeCell ref="A4:C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14"/>
  <sheetViews>
    <sheetView showRuler="0" workbookViewId="0">
      <selection activeCell="A2" sqref="A2:D2"/>
    </sheetView>
  </sheetViews>
  <sheetFormatPr baseColWidth="10" defaultColWidth="12.83203125" defaultRowHeight="13"/>
  <cols>
    <col min="1" max="1" width="56.5" customWidth="1"/>
    <col min="2" max="2" width="8.6640625" customWidth="1"/>
    <col min="3" max="4" width="16.83203125" customWidth="1"/>
  </cols>
  <sheetData>
    <row r="1" spans="1:4" ht="14">
      <c r="A1" s="301" t="str">
        <f>HYPERLINK("#'Index'!A1","Back to index")</f>
        <v>Back to index</v>
      </c>
    </row>
    <row r="2" spans="1:4" ht="25.75" customHeight="1">
      <c r="A2" s="315" t="s">
        <v>63</v>
      </c>
      <c r="B2" s="316"/>
      <c r="C2" s="316"/>
      <c r="D2" s="316"/>
    </row>
    <row r="3" spans="1:4" ht="22.5" customHeight="1">
      <c r="A3" s="317" t="s">
        <v>31</v>
      </c>
      <c r="B3" s="316"/>
      <c r="C3" s="316"/>
      <c r="D3" s="316"/>
    </row>
    <row r="4" spans="1:4">
      <c r="A4" s="338"/>
      <c r="B4" s="338"/>
      <c r="C4" s="338"/>
      <c r="D4" s="338"/>
    </row>
    <row r="5" spans="1:4" ht="22.5" customHeight="1">
      <c r="A5" s="15"/>
      <c r="B5" s="15"/>
      <c r="C5" s="39" t="s">
        <v>64</v>
      </c>
      <c r="D5" s="38" t="s">
        <v>246</v>
      </c>
    </row>
    <row r="6" spans="1:4" ht="17">
      <c r="A6" s="6" t="s">
        <v>560</v>
      </c>
      <c r="B6" s="6" t="s">
        <v>561</v>
      </c>
      <c r="C6" s="215">
        <v>40</v>
      </c>
      <c r="D6" s="79">
        <v>46</v>
      </c>
    </row>
    <row r="7" spans="1:4" ht="17">
      <c r="A7" s="7" t="s">
        <v>562</v>
      </c>
      <c r="B7" s="7" t="s">
        <v>561</v>
      </c>
      <c r="C7" s="216">
        <v>930</v>
      </c>
      <c r="D7" s="80">
        <v>921</v>
      </c>
    </row>
    <row r="8" spans="1:4" ht="17">
      <c r="A8" s="7" t="s">
        <v>563</v>
      </c>
      <c r="B8" s="7" t="s">
        <v>561</v>
      </c>
      <c r="C8" s="216">
        <v>42031</v>
      </c>
      <c r="D8" s="80">
        <v>39680</v>
      </c>
    </row>
    <row r="9" spans="1:4" ht="17">
      <c r="A9" s="7" t="s">
        <v>564</v>
      </c>
      <c r="B9" s="7" t="s">
        <v>561</v>
      </c>
      <c r="C9" s="216">
        <v>3502</v>
      </c>
      <c r="D9" s="80">
        <v>3527</v>
      </c>
    </row>
    <row r="10" spans="1:4" ht="17">
      <c r="A10" s="7" t="s">
        <v>565</v>
      </c>
      <c r="B10" s="7" t="s">
        <v>561</v>
      </c>
      <c r="C10" s="216">
        <v>7467</v>
      </c>
      <c r="D10" s="80">
        <v>8874</v>
      </c>
    </row>
    <row r="11" spans="1:4" ht="17">
      <c r="A11" s="7" t="s">
        <v>566</v>
      </c>
      <c r="B11" s="7" t="s">
        <v>561</v>
      </c>
      <c r="C11" s="216">
        <v>10219</v>
      </c>
      <c r="D11" s="80">
        <v>12306</v>
      </c>
    </row>
    <row r="12" spans="1:4" ht="17">
      <c r="A12" s="7" t="s">
        <v>461</v>
      </c>
      <c r="B12" s="7" t="s">
        <v>561</v>
      </c>
      <c r="C12" s="216">
        <v>595</v>
      </c>
      <c r="D12" s="80">
        <v>766</v>
      </c>
    </row>
    <row r="13" spans="1:4" ht="17">
      <c r="A13" s="11" t="s">
        <v>567</v>
      </c>
      <c r="B13" s="11" t="s">
        <v>568</v>
      </c>
      <c r="C13" s="243">
        <v>7125</v>
      </c>
      <c r="D13" s="154">
        <v>6478</v>
      </c>
    </row>
    <row r="14" spans="1:4" ht="16">
      <c r="A14" s="42"/>
      <c r="B14" s="42"/>
      <c r="C14" s="42"/>
      <c r="D14" s="42"/>
    </row>
  </sheetData>
  <mergeCells count="3">
    <mergeCell ref="A2:D2"/>
    <mergeCell ref="A3:D3"/>
    <mergeCell ref="A4:D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C19"/>
  <sheetViews>
    <sheetView showRuler="0" workbookViewId="0"/>
  </sheetViews>
  <sheetFormatPr baseColWidth="10" defaultColWidth="12.83203125" defaultRowHeight="13"/>
  <cols>
    <col min="1" max="1" width="56.5" customWidth="1"/>
    <col min="2" max="4" width="16.83203125" customWidth="1"/>
  </cols>
  <sheetData>
    <row r="1" spans="1:3" ht="14">
      <c r="A1" s="301" t="str">
        <f>HYPERLINK("#'Index'!A1","Back to index")</f>
        <v>Back to index</v>
      </c>
    </row>
    <row r="2" spans="1:3" ht="25.75" customHeight="1">
      <c r="A2" s="315" t="s">
        <v>63</v>
      </c>
      <c r="B2" s="316"/>
      <c r="C2" s="316"/>
    </row>
    <row r="3" spans="1:3" ht="22.5" customHeight="1">
      <c r="A3" s="317" t="s">
        <v>32</v>
      </c>
      <c r="B3" s="316"/>
      <c r="C3" s="316"/>
    </row>
    <row r="4" spans="1:3">
      <c r="A4" s="338"/>
      <c r="B4" s="338"/>
      <c r="C4" s="338"/>
    </row>
    <row r="5" spans="1:3" ht="22.5" customHeight="1">
      <c r="A5" s="15" t="s">
        <v>467</v>
      </c>
      <c r="B5" s="39" t="s">
        <v>64</v>
      </c>
      <c r="C5" s="38" t="s">
        <v>246</v>
      </c>
    </row>
    <row r="6" spans="1:3" ht="17">
      <c r="A6" s="4" t="s">
        <v>491</v>
      </c>
      <c r="B6" s="144">
        <v>13441</v>
      </c>
      <c r="C6" s="145">
        <v>12520</v>
      </c>
    </row>
    <row r="7" spans="1:3" ht="17">
      <c r="A7" s="7" t="s">
        <v>569</v>
      </c>
      <c r="B7" s="61">
        <v>42</v>
      </c>
      <c r="C7" s="80">
        <v>41</v>
      </c>
    </row>
    <row r="8" spans="1:3" ht="17">
      <c r="A8" s="7" t="s">
        <v>494</v>
      </c>
      <c r="B8" s="61">
        <v>81</v>
      </c>
      <c r="C8" s="80">
        <v>129</v>
      </c>
    </row>
    <row r="9" spans="1:3" ht="17">
      <c r="A9" s="7" t="s">
        <v>495</v>
      </c>
      <c r="B9" s="61">
        <v>-12813</v>
      </c>
      <c r="C9" s="80">
        <v>-11984</v>
      </c>
    </row>
    <row r="10" spans="1:3" ht="17">
      <c r="A10" s="133" t="s">
        <v>570</v>
      </c>
      <c r="B10" s="134">
        <v>751</v>
      </c>
      <c r="C10" s="135">
        <v>706</v>
      </c>
    </row>
    <row r="11" spans="1:3" ht="17">
      <c r="A11" s="7" t="s">
        <v>497</v>
      </c>
      <c r="B11" s="61">
        <v>-340</v>
      </c>
      <c r="C11" s="80">
        <v>-326</v>
      </c>
    </row>
    <row r="12" spans="1:3" ht="34">
      <c r="A12" s="7" t="s">
        <v>571</v>
      </c>
      <c r="B12" s="61">
        <v>-89</v>
      </c>
      <c r="C12" s="80">
        <v>-75</v>
      </c>
    </row>
    <row r="13" spans="1:3" ht="17">
      <c r="A13" s="7" t="s">
        <v>499</v>
      </c>
      <c r="B13" s="61">
        <v>-216</v>
      </c>
      <c r="C13" s="80">
        <v>-267</v>
      </c>
    </row>
    <row r="14" spans="1:3" ht="17">
      <c r="A14" s="9" t="s">
        <v>500</v>
      </c>
      <c r="B14" s="131">
        <v>106</v>
      </c>
      <c r="C14" s="132">
        <v>38</v>
      </c>
    </row>
    <row r="15" spans="1:3" ht="17">
      <c r="A15" s="7" t="s">
        <v>478</v>
      </c>
      <c r="B15" s="61">
        <v>88</v>
      </c>
      <c r="C15" s="80">
        <v>100</v>
      </c>
    </row>
    <row r="16" spans="1:3" ht="17">
      <c r="A16" s="9" t="s">
        <v>572</v>
      </c>
      <c r="B16" s="131">
        <v>194</v>
      </c>
      <c r="C16" s="132">
        <v>139</v>
      </c>
    </row>
    <row r="17" spans="1:3" ht="17">
      <c r="A17" s="7" t="s">
        <v>573</v>
      </c>
      <c r="B17" s="61">
        <v>-33</v>
      </c>
      <c r="C17" s="80">
        <v>-1</v>
      </c>
    </row>
    <row r="18" spans="1:3" ht="17">
      <c r="A18" s="95" t="s">
        <v>574</v>
      </c>
      <c r="B18" s="156">
        <v>161</v>
      </c>
      <c r="C18" s="157">
        <v>138</v>
      </c>
    </row>
    <row r="19" spans="1:3" ht="16">
      <c r="A19" s="363"/>
      <c r="B19" s="363"/>
      <c r="C19" s="363"/>
    </row>
  </sheetData>
  <mergeCells count="4">
    <mergeCell ref="A2:C2"/>
    <mergeCell ref="A3:C3"/>
    <mergeCell ref="A19:C19"/>
    <mergeCell ref="A4:C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C15"/>
  <sheetViews>
    <sheetView showRuler="0" workbookViewId="0">
      <selection activeCell="A2" sqref="A2:C2"/>
    </sheetView>
  </sheetViews>
  <sheetFormatPr baseColWidth="10" defaultColWidth="12.83203125" defaultRowHeight="13"/>
  <cols>
    <col min="1" max="1" width="56.5" customWidth="1"/>
    <col min="2" max="4" width="16.83203125" customWidth="1"/>
  </cols>
  <sheetData>
    <row r="1" spans="1:3" ht="14">
      <c r="A1" s="301" t="str">
        <f>HYPERLINK("#'Index'!A1","Back to index")</f>
        <v>Back to index</v>
      </c>
    </row>
    <row r="2" spans="1:3" ht="25.75" customHeight="1">
      <c r="A2" s="315" t="s">
        <v>63</v>
      </c>
      <c r="B2" s="316"/>
      <c r="C2" s="316"/>
    </row>
    <row r="3" spans="1:3" ht="22.5" customHeight="1">
      <c r="A3" s="317" t="s">
        <v>33</v>
      </c>
      <c r="B3" s="316"/>
      <c r="C3" s="316"/>
    </row>
    <row r="4" spans="1:3">
      <c r="A4" s="338"/>
      <c r="B4" s="338"/>
      <c r="C4" s="338"/>
    </row>
    <row r="5" spans="1:3" ht="22.5" customHeight="1">
      <c r="A5" s="15" t="s">
        <v>240</v>
      </c>
      <c r="B5" s="39" t="s">
        <v>468</v>
      </c>
      <c r="C5" s="38" t="s">
        <v>469</v>
      </c>
    </row>
    <row r="6" spans="1:3" ht="17">
      <c r="A6" s="6" t="s">
        <v>520</v>
      </c>
      <c r="B6" s="45">
        <v>55</v>
      </c>
      <c r="C6" s="5">
        <v>56</v>
      </c>
    </row>
    <row r="7" spans="1:3" ht="17">
      <c r="A7" s="7" t="s">
        <v>471</v>
      </c>
      <c r="B7" s="47">
        <v>22</v>
      </c>
      <c r="C7" s="8">
        <v>24</v>
      </c>
    </row>
    <row r="8" spans="1:3" ht="17">
      <c r="A8" s="7" t="s">
        <v>575</v>
      </c>
      <c r="B8" s="47">
        <v>17</v>
      </c>
      <c r="C8" s="8">
        <v>14</v>
      </c>
    </row>
    <row r="9" spans="1:3" ht="17">
      <c r="A9" s="7" t="s">
        <v>576</v>
      </c>
      <c r="B9" s="47">
        <v>6</v>
      </c>
      <c r="C9" s="8">
        <v>6</v>
      </c>
    </row>
    <row r="10" spans="1:3" ht="16">
      <c r="A10" s="26"/>
      <c r="B10" s="51">
        <v>100</v>
      </c>
      <c r="C10" s="103">
        <v>100</v>
      </c>
    </row>
    <row r="11" spans="1:3" ht="17">
      <c r="A11" s="7" t="s">
        <v>524</v>
      </c>
      <c r="B11" s="47">
        <v>39</v>
      </c>
      <c r="C11" s="8">
        <v>39</v>
      </c>
    </row>
    <row r="12" spans="1:3" ht="17">
      <c r="A12" s="7" t="s">
        <v>577</v>
      </c>
      <c r="B12" s="47">
        <v>9</v>
      </c>
      <c r="C12" s="8">
        <v>9</v>
      </c>
    </row>
    <row r="13" spans="1:3" ht="17">
      <c r="A13" s="7" t="s">
        <v>526</v>
      </c>
      <c r="B13" s="47">
        <v>52</v>
      </c>
      <c r="C13" s="8">
        <v>52</v>
      </c>
    </row>
    <row r="14" spans="1:3" ht="16">
      <c r="A14" s="10"/>
      <c r="B14" s="53">
        <v>100</v>
      </c>
      <c r="C14" s="84">
        <v>100</v>
      </c>
    </row>
    <row r="15" spans="1:3" ht="16">
      <c r="A15" s="363"/>
      <c r="B15" s="363"/>
      <c r="C15" s="363"/>
    </row>
  </sheetData>
  <mergeCells count="4">
    <mergeCell ref="A2:C2"/>
    <mergeCell ref="A3:C3"/>
    <mergeCell ref="A15:C15"/>
    <mergeCell ref="A4:C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2"/>
  <sheetViews>
    <sheetView showRuler="0" zoomScaleNormal="100" workbookViewId="0">
      <selection activeCell="A2" sqref="A2:N2"/>
    </sheetView>
  </sheetViews>
  <sheetFormatPr baseColWidth="10" defaultColWidth="12.83203125" defaultRowHeight="13"/>
  <cols>
    <col min="1" max="1" width="29.33203125" customWidth="1"/>
    <col min="2" max="2" width="30.6640625" customWidth="1"/>
    <col min="3" max="11" width="19.5" customWidth="1"/>
    <col min="12" max="12" width="22" customWidth="1"/>
    <col min="13" max="14" width="19.5" customWidth="1"/>
  </cols>
  <sheetData>
    <row r="1" spans="1:14" ht="14">
      <c r="A1" s="301" t="str">
        <f>HYPERLINK("#'Index'!A1","Back to index")</f>
        <v>Back to index</v>
      </c>
    </row>
    <row r="2" spans="1:14" ht="25.75" customHeight="1">
      <c r="A2" s="315" t="s">
        <v>63</v>
      </c>
      <c r="B2" s="316"/>
      <c r="C2" s="316"/>
      <c r="D2" s="316"/>
      <c r="E2" s="316"/>
      <c r="F2" s="316"/>
      <c r="G2" s="316"/>
      <c r="H2" s="316"/>
      <c r="I2" s="316"/>
      <c r="J2" s="316"/>
      <c r="K2" s="316"/>
      <c r="L2" s="316"/>
      <c r="M2" s="316"/>
      <c r="N2" s="316"/>
    </row>
    <row r="3" spans="1:14" ht="22.5" customHeight="1">
      <c r="A3" s="317" t="s">
        <v>3</v>
      </c>
      <c r="B3" s="316"/>
      <c r="C3" s="316"/>
      <c r="D3" s="316"/>
      <c r="E3" s="316"/>
      <c r="F3" s="316"/>
      <c r="G3" s="316"/>
      <c r="H3" s="316"/>
      <c r="I3" s="316"/>
      <c r="J3" s="316"/>
      <c r="K3" s="316"/>
      <c r="L3" s="316"/>
      <c r="M3" s="316"/>
      <c r="N3" s="316"/>
    </row>
    <row r="5" spans="1:14" ht="36">
      <c r="A5" s="15"/>
      <c r="B5" s="15"/>
      <c r="C5" s="23" t="s">
        <v>139</v>
      </c>
      <c r="D5" s="24" t="s">
        <v>140</v>
      </c>
      <c r="E5" s="24" t="s">
        <v>141</v>
      </c>
      <c r="F5" s="23" t="s">
        <v>142</v>
      </c>
      <c r="G5" s="24" t="s">
        <v>143</v>
      </c>
      <c r="H5" s="24" t="s">
        <v>144</v>
      </c>
      <c r="I5" s="23" t="s">
        <v>145</v>
      </c>
      <c r="J5" s="23" t="s">
        <v>81</v>
      </c>
      <c r="K5" s="24" t="s">
        <v>146</v>
      </c>
      <c r="L5" s="24" t="s">
        <v>147</v>
      </c>
      <c r="M5" s="23" t="s">
        <v>148</v>
      </c>
      <c r="N5" s="24" t="s">
        <v>149</v>
      </c>
    </row>
    <row r="6" spans="1:14" ht="17">
      <c r="A6" s="6" t="s">
        <v>150</v>
      </c>
      <c r="B6" s="6" t="s">
        <v>151</v>
      </c>
      <c r="C6" s="25" t="s">
        <v>152</v>
      </c>
      <c r="D6" s="25" t="s">
        <v>153</v>
      </c>
      <c r="E6" s="25" t="s">
        <v>154</v>
      </c>
      <c r="F6" s="25" t="s">
        <v>155</v>
      </c>
      <c r="G6" s="25" t="s">
        <v>154</v>
      </c>
      <c r="H6" s="25" t="s">
        <v>156</v>
      </c>
      <c r="I6" s="25" t="s">
        <v>155</v>
      </c>
      <c r="J6" s="25" t="s">
        <v>157</v>
      </c>
      <c r="K6" s="25" t="s">
        <v>157</v>
      </c>
      <c r="L6" s="25" t="s">
        <v>155</v>
      </c>
      <c r="M6" s="25" t="s">
        <v>158</v>
      </c>
      <c r="N6" s="25" t="s">
        <v>157</v>
      </c>
    </row>
    <row r="7" spans="1:14" ht="17">
      <c r="A7" s="323" t="s">
        <v>159</v>
      </c>
      <c r="B7" s="7" t="s">
        <v>160</v>
      </c>
      <c r="C7" s="26"/>
      <c r="D7" s="27" t="s">
        <v>161</v>
      </c>
      <c r="E7" s="27" t="s">
        <v>161</v>
      </c>
      <c r="F7" s="27" t="s">
        <v>161</v>
      </c>
      <c r="G7" s="27" t="s">
        <v>161</v>
      </c>
      <c r="H7" s="27" t="s">
        <v>161</v>
      </c>
      <c r="I7" s="27" t="s">
        <v>161</v>
      </c>
      <c r="J7" s="27" t="s">
        <v>161</v>
      </c>
      <c r="K7" s="27" t="s">
        <v>161</v>
      </c>
      <c r="L7" s="27" t="s">
        <v>161</v>
      </c>
      <c r="M7" s="27"/>
      <c r="N7" s="27" t="s">
        <v>161</v>
      </c>
    </row>
    <row r="8" spans="1:14" ht="17">
      <c r="A8" s="316"/>
      <c r="B8" s="7" t="s">
        <v>162</v>
      </c>
      <c r="C8" s="27" t="s">
        <v>161</v>
      </c>
      <c r="D8" s="27" t="s">
        <v>161</v>
      </c>
      <c r="E8" s="27" t="s">
        <v>161</v>
      </c>
      <c r="F8" s="27" t="s">
        <v>161</v>
      </c>
      <c r="G8" s="27" t="s">
        <v>161</v>
      </c>
      <c r="H8" s="27" t="s">
        <v>161</v>
      </c>
      <c r="I8" s="27" t="s">
        <v>161</v>
      </c>
      <c r="J8" s="27" t="s">
        <v>161</v>
      </c>
      <c r="K8" s="27" t="s">
        <v>161</v>
      </c>
      <c r="L8" s="27" t="s">
        <v>161</v>
      </c>
      <c r="M8" s="27" t="s">
        <v>161</v>
      </c>
      <c r="N8" s="27" t="s">
        <v>161</v>
      </c>
    </row>
    <row r="9" spans="1:14" ht="17">
      <c r="A9" s="323" t="s">
        <v>163</v>
      </c>
      <c r="B9" s="7" t="s">
        <v>164</v>
      </c>
      <c r="C9" s="28" t="s">
        <v>165</v>
      </c>
      <c r="D9" s="28" t="s">
        <v>165</v>
      </c>
      <c r="E9" s="28" t="s">
        <v>166</v>
      </c>
      <c r="F9" s="28" t="s">
        <v>166</v>
      </c>
      <c r="G9" s="28" t="s">
        <v>165</v>
      </c>
      <c r="H9" s="28" t="s">
        <v>165</v>
      </c>
      <c r="I9" s="28" t="s">
        <v>165</v>
      </c>
      <c r="J9" s="28" t="s">
        <v>165</v>
      </c>
      <c r="K9" s="28" t="s">
        <v>166</v>
      </c>
      <c r="L9" s="28" t="s">
        <v>165</v>
      </c>
      <c r="M9" s="28" t="s">
        <v>166</v>
      </c>
      <c r="N9" s="28" t="s">
        <v>165</v>
      </c>
    </row>
    <row r="10" spans="1:14" ht="17">
      <c r="A10" s="316"/>
      <c r="B10" s="7" t="s">
        <v>167</v>
      </c>
      <c r="C10" s="29" t="s">
        <v>168</v>
      </c>
      <c r="D10" s="29" t="s">
        <v>169</v>
      </c>
      <c r="E10" s="29" t="s">
        <v>170</v>
      </c>
      <c r="F10" s="29" t="s">
        <v>171</v>
      </c>
      <c r="G10" s="29" t="s">
        <v>172</v>
      </c>
      <c r="H10" s="29" t="s">
        <v>173</v>
      </c>
      <c r="I10" s="29" t="s">
        <v>174</v>
      </c>
      <c r="J10" s="29" t="s">
        <v>175</v>
      </c>
      <c r="K10" s="29" t="s">
        <v>172</v>
      </c>
      <c r="L10" s="29" t="s">
        <v>176</v>
      </c>
      <c r="M10" s="29" t="s">
        <v>177</v>
      </c>
      <c r="N10" s="29" t="s">
        <v>178</v>
      </c>
    </row>
    <row r="11" spans="1:14" ht="30.75" customHeight="1">
      <c r="A11" s="316"/>
      <c r="B11" s="7" t="s">
        <v>179</v>
      </c>
      <c r="C11" s="28" t="s">
        <v>180</v>
      </c>
      <c r="D11" s="28" t="s">
        <v>981</v>
      </c>
      <c r="E11" s="28" t="s">
        <v>980</v>
      </c>
      <c r="F11" s="28" t="s">
        <v>181</v>
      </c>
      <c r="G11" s="28" t="s">
        <v>979</v>
      </c>
      <c r="H11" s="28" t="s">
        <v>978</v>
      </c>
      <c r="I11" s="28" t="s">
        <v>982</v>
      </c>
      <c r="J11" s="28" t="s">
        <v>982</v>
      </c>
      <c r="K11" s="28" t="s">
        <v>180</v>
      </c>
      <c r="L11" s="28" t="s">
        <v>983</v>
      </c>
      <c r="M11" s="28" t="s">
        <v>984</v>
      </c>
      <c r="N11" s="28" t="s">
        <v>182</v>
      </c>
    </row>
    <row r="12" spans="1:14" ht="17">
      <c r="A12" s="316"/>
      <c r="B12" s="7" t="s">
        <v>183</v>
      </c>
      <c r="C12" s="28" t="s">
        <v>184</v>
      </c>
      <c r="D12" s="28" t="s">
        <v>184</v>
      </c>
      <c r="E12" s="28" t="s">
        <v>184</v>
      </c>
      <c r="F12" s="28" t="s">
        <v>184</v>
      </c>
      <c r="G12" s="28" t="s">
        <v>184</v>
      </c>
      <c r="H12" s="28" t="s">
        <v>184</v>
      </c>
      <c r="I12" s="28" t="s">
        <v>184</v>
      </c>
      <c r="J12" s="28" t="s">
        <v>184</v>
      </c>
      <c r="K12" s="28" t="s">
        <v>184</v>
      </c>
      <c r="L12" s="28" t="s">
        <v>184</v>
      </c>
      <c r="M12" s="28" t="s">
        <v>184</v>
      </c>
      <c r="N12" s="28" t="s">
        <v>184</v>
      </c>
    </row>
    <row r="13" spans="1:14" ht="17">
      <c r="A13" s="323" t="s">
        <v>185</v>
      </c>
      <c r="B13" s="7" t="s">
        <v>186</v>
      </c>
      <c r="C13" s="27" t="s">
        <v>161</v>
      </c>
      <c r="D13" s="27"/>
      <c r="E13" s="26"/>
      <c r="F13" s="27" t="s">
        <v>161</v>
      </c>
      <c r="G13" s="26"/>
      <c r="H13" s="27" t="s">
        <v>161</v>
      </c>
      <c r="I13" s="27" t="s">
        <v>161</v>
      </c>
      <c r="J13" s="27" t="s">
        <v>161</v>
      </c>
      <c r="K13" s="27" t="s">
        <v>161</v>
      </c>
      <c r="L13" s="27"/>
      <c r="M13" s="27" t="s">
        <v>161</v>
      </c>
      <c r="N13" s="27" t="s">
        <v>161</v>
      </c>
    </row>
    <row r="14" spans="1:14" ht="17">
      <c r="A14" s="316"/>
      <c r="B14" s="7" t="s">
        <v>118</v>
      </c>
      <c r="C14" s="27" t="s">
        <v>161</v>
      </c>
      <c r="D14" s="27" t="s">
        <v>161</v>
      </c>
      <c r="E14" s="26"/>
      <c r="F14" s="26"/>
      <c r="G14" s="27" t="s">
        <v>161</v>
      </c>
      <c r="H14" s="27" t="s">
        <v>161</v>
      </c>
      <c r="I14" s="27" t="s">
        <v>161</v>
      </c>
      <c r="J14" s="27"/>
      <c r="K14" s="27" t="s">
        <v>161</v>
      </c>
      <c r="L14" s="27" t="s">
        <v>161</v>
      </c>
      <c r="M14" s="26"/>
      <c r="N14" s="27" t="s">
        <v>161</v>
      </c>
    </row>
    <row r="15" spans="1:14" ht="17">
      <c r="A15" s="316"/>
      <c r="B15" s="7" t="s">
        <v>120</v>
      </c>
      <c r="C15" s="27"/>
      <c r="D15" s="27"/>
      <c r="E15" s="26"/>
      <c r="F15" s="27" t="s">
        <v>161</v>
      </c>
      <c r="G15" s="26"/>
      <c r="H15" s="27" t="s">
        <v>161</v>
      </c>
      <c r="I15" s="27" t="s">
        <v>161</v>
      </c>
      <c r="J15" s="27"/>
      <c r="K15" s="27" t="s">
        <v>161</v>
      </c>
      <c r="L15" s="27"/>
      <c r="M15" s="27" t="s">
        <v>161</v>
      </c>
      <c r="N15" s="27"/>
    </row>
    <row r="16" spans="1:14" ht="17">
      <c r="A16" s="316"/>
      <c r="B16" s="7" t="s">
        <v>187</v>
      </c>
      <c r="C16" s="27" t="s">
        <v>161</v>
      </c>
      <c r="D16" s="27" t="s">
        <v>161</v>
      </c>
      <c r="E16" s="26"/>
      <c r="F16" s="26"/>
      <c r="G16" s="26"/>
      <c r="H16" s="27" t="s">
        <v>161</v>
      </c>
      <c r="I16" s="27" t="s">
        <v>161</v>
      </c>
      <c r="J16" s="27" t="s">
        <v>161</v>
      </c>
      <c r="K16" s="27"/>
      <c r="L16" s="27"/>
      <c r="M16" s="27" t="s">
        <v>161</v>
      </c>
      <c r="N16" s="27"/>
    </row>
    <row r="17" spans="1:14" ht="17">
      <c r="A17" s="316"/>
      <c r="B17" s="7" t="s">
        <v>125</v>
      </c>
      <c r="C17" s="27" t="s">
        <v>161</v>
      </c>
      <c r="D17" s="27"/>
      <c r="E17" s="26"/>
      <c r="F17" s="27" t="s">
        <v>161</v>
      </c>
      <c r="G17" s="26"/>
      <c r="H17" s="26"/>
      <c r="I17" s="27" t="s">
        <v>161</v>
      </c>
      <c r="J17" s="27" t="s">
        <v>161</v>
      </c>
      <c r="K17" s="27"/>
      <c r="L17" s="27"/>
      <c r="M17" s="27" t="s">
        <v>161</v>
      </c>
      <c r="N17" s="27"/>
    </row>
    <row r="18" spans="1:14" ht="17">
      <c r="A18" s="316"/>
      <c r="B18" s="7" t="s">
        <v>127</v>
      </c>
      <c r="C18" s="27"/>
      <c r="D18" s="27" t="s">
        <v>161</v>
      </c>
      <c r="E18" s="26"/>
      <c r="F18" s="27" t="s">
        <v>161</v>
      </c>
      <c r="G18" s="26"/>
      <c r="H18" s="26"/>
      <c r="I18" s="27"/>
      <c r="J18" s="27" t="s">
        <v>161</v>
      </c>
      <c r="K18" s="27"/>
      <c r="L18" s="27"/>
      <c r="M18" s="27" t="s">
        <v>161</v>
      </c>
      <c r="N18" s="27"/>
    </row>
    <row r="19" spans="1:14" ht="17">
      <c r="A19" s="316"/>
      <c r="B19" s="7" t="s">
        <v>130</v>
      </c>
      <c r="C19" s="27"/>
      <c r="D19" s="27"/>
      <c r="E19" s="26"/>
      <c r="F19" s="27" t="s">
        <v>161</v>
      </c>
      <c r="G19" s="26"/>
      <c r="H19" s="26"/>
      <c r="I19" s="27"/>
      <c r="J19" s="27" t="s">
        <v>161</v>
      </c>
      <c r="K19" s="27"/>
      <c r="L19" s="27"/>
      <c r="M19" s="27" t="s">
        <v>161</v>
      </c>
      <c r="N19" s="26"/>
    </row>
    <row r="20" spans="1:14" ht="17">
      <c r="A20" s="316"/>
      <c r="B20" s="7" t="s">
        <v>188</v>
      </c>
      <c r="C20" s="27" t="s">
        <v>161</v>
      </c>
      <c r="D20" s="27" t="s">
        <v>161</v>
      </c>
      <c r="E20" s="27" t="s">
        <v>161</v>
      </c>
      <c r="F20" s="27" t="s">
        <v>161</v>
      </c>
      <c r="G20" s="26"/>
      <c r="H20" s="27" t="s">
        <v>161</v>
      </c>
      <c r="I20" s="27"/>
      <c r="J20" s="27" t="s">
        <v>161</v>
      </c>
      <c r="K20" s="27" t="s">
        <v>161</v>
      </c>
      <c r="L20" s="27" t="s">
        <v>161</v>
      </c>
      <c r="M20" s="27" t="s">
        <v>161</v>
      </c>
      <c r="N20" s="27"/>
    </row>
    <row r="21" spans="1:14" ht="17">
      <c r="A21" s="316"/>
      <c r="B21" s="11" t="s">
        <v>136</v>
      </c>
      <c r="C21" s="30" t="s">
        <v>161</v>
      </c>
      <c r="D21" s="30" t="s">
        <v>161</v>
      </c>
      <c r="E21" s="31"/>
      <c r="F21" s="31"/>
      <c r="G21" s="31"/>
      <c r="H21" s="30" t="s">
        <v>161</v>
      </c>
      <c r="I21" s="30" t="s">
        <v>161</v>
      </c>
      <c r="J21" s="30" t="s">
        <v>161</v>
      </c>
      <c r="K21" s="30"/>
      <c r="L21" s="31"/>
      <c r="M21" s="30" t="s">
        <v>161</v>
      </c>
      <c r="N21" s="31"/>
    </row>
    <row r="22" spans="1:14" ht="63" customHeight="1">
      <c r="A22" s="319" t="s">
        <v>1045</v>
      </c>
      <c r="B22" s="319"/>
      <c r="C22" s="319"/>
      <c r="D22" s="319"/>
      <c r="E22" s="319"/>
      <c r="F22" s="319"/>
      <c r="G22" s="319"/>
      <c r="H22" s="319"/>
      <c r="I22" s="32"/>
      <c r="J22" s="32"/>
      <c r="K22" s="33"/>
      <c r="L22" s="33"/>
      <c r="M22" s="33"/>
      <c r="N22" s="32"/>
    </row>
  </sheetData>
  <mergeCells count="6">
    <mergeCell ref="A22:H22"/>
    <mergeCell ref="A7:A8"/>
    <mergeCell ref="A3:N3"/>
    <mergeCell ref="A2:N2"/>
    <mergeCell ref="A9:A12"/>
    <mergeCell ref="A13:A2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49"/>
  <sheetViews>
    <sheetView showRuler="0" workbookViewId="0">
      <selection activeCell="A2" sqref="A2:E2"/>
    </sheetView>
  </sheetViews>
  <sheetFormatPr baseColWidth="10" defaultColWidth="12.83203125" defaultRowHeight="13"/>
  <cols>
    <col min="1" max="1" width="56.5" customWidth="1"/>
    <col min="2" max="5" width="16.83203125" customWidth="1"/>
  </cols>
  <sheetData>
    <row r="1" spans="1:5" ht="16.75" customHeight="1">
      <c r="A1" s="301" t="str">
        <f>HYPERLINK("#'Index'!A1","Back to index")</f>
        <v>Back to index</v>
      </c>
    </row>
    <row r="2" spans="1:5" ht="24" customHeight="1">
      <c r="A2" s="315" t="s">
        <v>63</v>
      </c>
      <c r="B2" s="316"/>
      <c r="C2" s="316"/>
      <c r="D2" s="316"/>
      <c r="E2" s="316"/>
    </row>
    <row r="3" spans="1:5" ht="23.25" customHeight="1">
      <c r="A3" s="317" t="s">
        <v>34</v>
      </c>
      <c r="B3" s="316"/>
      <c r="C3" s="316"/>
      <c r="D3" s="316"/>
      <c r="E3" s="316"/>
    </row>
    <row r="4" spans="1:5" ht="13" customHeight="1">
      <c r="A4" s="338"/>
      <c r="B4" s="338"/>
      <c r="C4" s="338"/>
      <c r="D4" s="338"/>
      <c r="E4" s="338"/>
    </row>
    <row r="5" spans="1:5" ht="22.5" customHeight="1">
      <c r="A5" s="15" t="s">
        <v>323</v>
      </c>
      <c r="B5" s="158" t="s">
        <v>578</v>
      </c>
      <c r="C5" s="158" t="s">
        <v>579</v>
      </c>
      <c r="D5" s="158" t="s">
        <v>580</v>
      </c>
      <c r="E5" s="158" t="s">
        <v>581</v>
      </c>
    </row>
    <row r="6" spans="1:5" ht="15" customHeight="1">
      <c r="A6" s="4" t="s">
        <v>582</v>
      </c>
      <c r="B6" s="159"/>
      <c r="C6" s="159"/>
      <c r="D6" s="159"/>
      <c r="E6" s="5"/>
    </row>
    <row r="7" spans="1:5" ht="15" customHeight="1">
      <c r="A7" s="7" t="s">
        <v>583</v>
      </c>
      <c r="B7" s="8" t="s">
        <v>584</v>
      </c>
      <c r="C7" s="8" t="s">
        <v>584</v>
      </c>
      <c r="D7" s="8" t="s">
        <v>583</v>
      </c>
      <c r="E7" s="8" t="s">
        <v>583</v>
      </c>
    </row>
    <row r="8" spans="1:5" ht="15" customHeight="1">
      <c r="A8" s="7" t="s">
        <v>584</v>
      </c>
      <c r="B8" s="8" t="s">
        <v>585</v>
      </c>
      <c r="C8" s="8" t="s">
        <v>584</v>
      </c>
      <c r="D8" s="8" t="s">
        <v>584</v>
      </c>
      <c r="E8" s="8" t="s">
        <v>583</v>
      </c>
    </row>
    <row r="9" spans="1:5" ht="15" customHeight="1">
      <c r="A9" s="7" t="s">
        <v>585</v>
      </c>
      <c r="B9" s="8" t="s">
        <v>585</v>
      </c>
      <c r="C9" s="8" t="s">
        <v>585</v>
      </c>
      <c r="D9" s="8" t="s">
        <v>584</v>
      </c>
      <c r="E9" s="8" t="s">
        <v>584</v>
      </c>
    </row>
    <row r="10" spans="1:5" ht="15" customHeight="1">
      <c r="A10" s="11" t="s">
        <v>586</v>
      </c>
      <c r="B10" s="57" t="s">
        <v>585</v>
      </c>
      <c r="C10" s="57" t="s">
        <v>585</v>
      </c>
      <c r="D10" s="57" t="s">
        <v>585</v>
      </c>
      <c r="E10" s="57" t="s">
        <v>584</v>
      </c>
    </row>
    <row r="11" spans="1:5" ht="16.75" customHeight="1">
      <c r="A11" s="363"/>
      <c r="B11" s="363"/>
      <c r="C11" s="363"/>
      <c r="D11" s="363"/>
      <c r="E11" s="363"/>
    </row>
    <row r="12" spans="1:5" ht="15" customHeight="1"/>
    <row r="13" spans="1:5" ht="15" customHeight="1"/>
    <row r="14" spans="1:5" ht="15" customHeight="1"/>
    <row r="15" spans="1:5" ht="15" customHeight="1"/>
    <row r="16" spans="1:5"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mergeCells count="4">
    <mergeCell ref="A2:E2"/>
    <mergeCell ref="A3:E3"/>
    <mergeCell ref="A11:E11"/>
    <mergeCell ref="A4:E4"/>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16"/>
  <sheetViews>
    <sheetView showRuler="0" workbookViewId="0">
      <selection activeCell="A2" sqref="A2:G2"/>
    </sheetView>
  </sheetViews>
  <sheetFormatPr baseColWidth="10" defaultColWidth="12.83203125" defaultRowHeight="13"/>
  <cols>
    <col min="1" max="1" width="56.5" customWidth="1"/>
    <col min="2" max="7" width="16.83203125" customWidth="1"/>
  </cols>
  <sheetData>
    <row r="1" spans="1:7" ht="14">
      <c r="A1" s="301" t="str">
        <f>HYPERLINK("#'Index'!A1","Back to index")</f>
        <v>Back to index</v>
      </c>
    </row>
    <row r="2" spans="1:7" ht="25.75" customHeight="1">
      <c r="A2" s="315" t="s">
        <v>63</v>
      </c>
      <c r="B2" s="316"/>
      <c r="C2" s="316"/>
      <c r="D2" s="316"/>
      <c r="E2" s="316"/>
      <c r="F2" s="316"/>
      <c r="G2" s="316"/>
    </row>
    <row r="3" spans="1:7" ht="22.5" customHeight="1">
      <c r="A3" s="317" t="s">
        <v>35</v>
      </c>
      <c r="B3" s="316"/>
      <c r="C3" s="316"/>
      <c r="D3" s="316"/>
      <c r="E3" s="316"/>
      <c r="F3" s="316"/>
      <c r="G3" s="316"/>
    </row>
    <row r="4" spans="1:7">
      <c r="A4" s="338"/>
      <c r="B4" s="338"/>
      <c r="C4" s="338"/>
      <c r="D4" s="338"/>
      <c r="E4" s="338"/>
      <c r="F4" s="338"/>
      <c r="G4" s="338"/>
    </row>
    <row r="5" spans="1:7" ht="21" customHeight="1" thickBot="1">
      <c r="A5" s="95" t="s">
        <v>587</v>
      </c>
      <c r="B5" s="389" t="s">
        <v>588</v>
      </c>
      <c r="C5" s="389"/>
      <c r="D5" s="389" t="s">
        <v>589</v>
      </c>
      <c r="E5" s="389"/>
      <c r="F5" s="389" t="s">
        <v>590</v>
      </c>
      <c r="G5" s="389"/>
    </row>
    <row r="6" spans="1:7" ht="18" thickBot="1">
      <c r="A6" s="149"/>
      <c r="B6" s="143" t="s">
        <v>591</v>
      </c>
      <c r="C6" s="143" t="s">
        <v>240</v>
      </c>
      <c r="D6" s="143" t="s">
        <v>591</v>
      </c>
      <c r="E6" s="143" t="s">
        <v>240</v>
      </c>
      <c r="F6" s="143" t="s">
        <v>591</v>
      </c>
      <c r="G6" s="143" t="s">
        <v>240</v>
      </c>
    </row>
    <row r="7" spans="1:7" ht="17">
      <c r="A7" s="191" t="s">
        <v>592</v>
      </c>
      <c r="B7" s="85"/>
      <c r="C7" s="85"/>
      <c r="D7" s="85"/>
      <c r="E7" s="85"/>
      <c r="F7" s="85"/>
      <c r="G7" s="85"/>
    </row>
    <row r="8" spans="1:7" ht="34">
      <c r="A8" s="9" t="s">
        <v>593</v>
      </c>
      <c r="B8" s="8"/>
      <c r="C8" s="8"/>
      <c r="D8" s="8"/>
      <c r="E8" s="8"/>
      <c r="F8" s="8"/>
      <c r="G8" s="8"/>
    </row>
    <row r="9" spans="1:7" ht="34">
      <c r="A9" s="7" t="s">
        <v>594</v>
      </c>
      <c r="B9" s="160">
        <v>0</v>
      </c>
      <c r="C9" s="8">
        <v>0</v>
      </c>
      <c r="D9" s="160">
        <v>8037</v>
      </c>
      <c r="E9" s="8">
        <v>1</v>
      </c>
      <c r="F9" s="160">
        <v>0</v>
      </c>
      <c r="G9" s="8">
        <v>0</v>
      </c>
    </row>
    <row r="10" spans="1:7" ht="34">
      <c r="A10" s="9" t="s">
        <v>595</v>
      </c>
      <c r="B10" s="8"/>
      <c r="C10" s="8"/>
      <c r="D10" s="8"/>
      <c r="E10" s="8"/>
      <c r="F10" s="8"/>
      <c r="G10" s="8"/>
    </row>
    <row r="11" spans="1:7" ht="34">
      <c r="A11" s="7" t="s">
        <v>596</v>
      </c>
      <c r="B11" s="160">
        <v>0</v>
      </c>
      <c r="C11" s="8">
        <v>0</v>
      </c>
      <c r="D11" s="160">
        <v>137015</v>
      </c>
      <c r="E11" s="8">
        <v>18</v>
      </c>
      <c r="F11" s="160">
        <v>0</v>
      </c>
      <c r="G11" s="8">
        <v>0</v>
      </c>
    </row>
    <row r="12" spans="1:7" ht="17">
      <c r="A12" s="9" t="s">
        <v>597</v>
      </c>
      <c r="B12" s="161">
        <v>0</v>
      </c>
      <c r="C12" s="103">
        <v>0</v>
      </c>
      <c r="D12" s="161">
        <v>145052</v>
      </c>
      <c r="E12" s="103">
        <v>19</v>
      </c>
      <c r="F12" s="161">
        <v>0</v>
      </c>
      <c r="G12" s="103">
        <v>0</v>
      </c>
    </row>
    <row r="13" spans="1:7" ht="17">
      <c r="A13" s="9" t="s">
        <v>598</v>
      </c>
      <c r="B13" s="8"/>
      <c r="C13" s="8"/>
      <c r="D13" s="8"/>
      <c r="E13" s="8"/>
      <c r="F13" s="8"/>
      <c r="G13" s="8"/>
    </row>
    <row r="14" spans="1:7" ht="17">
      <c r="A14" s="7" t="s">
        <v>599</v>
      </c>
      <c r="B14" s="60">
        <v>18171053</v>
      </c>
      <c r="C14" s="8">
        <v>100</v>
      </c>
      <c r="D14" s="160">
        <v>625542</v>
      </c>
      <c r="E14" s="8">
        <v>81</v>
      </c>
      <c r="F14" s="160">
        <v>248414</v>
      </c>
      <c r="G14" s="8">
        <v>100</v>
      </c>
    </row>
    <row r="15" spans="1:7" ht="17">
      <c r="A15" s="10" t="s">
        <v>600</v>
      </c>
      <c r="B15" s="162">
        <v>18171053</v>
      </c>
      <c r="C15" s="84">
        <v>100</v>
      </c>
      <c r="D15" s="163">
        <v>770594</v>
      </c>
      <c r="E15" s="84">
        <v>100</v>
      </c>
      <c r="F15" s="163">
        <v>248414</v>
      </c>
      <c r="G15" s="84">
        <v>100</v>
      </c>
    </row>
    <row r="16" spans="1:7" ht="16">
      <c r="A16" s="331"/>
      <c r="B16" s="331"/>
      <c r="C16" s="331"/>
      <c r="D16" s="331"/>
      <c r="E16" s="331"/>
      <c r="F16" s="331"/>
      <c r="G16" s="331"/>
    </row>
  </sheetData>
  <mergeCells count="7">
    <mergeCell ref="A16:G16"/>
    <mergeCell ref="A2:G2"/>
    <mergeCell ref="A3:G3"/>
    <mergeCell ref="B5:C5"/>
    <mergeCell ref="D5:E5"/>
    <mergeCell ref="F5:G5"/>
    <mergeCell ref="A4:G4"/>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C22"/>
  <sheetViews>
    <sheetView showRuler="0" workbookViewId="0">
      <selection activeCell="A2" sqref="A2:C2"/>
    </sheetView>
  </sheetViews>
  <sheetFormatPr baseColWidth="10" defaultColWidth="12.83203125" defaultRowHeight="13"/>
  <cols>
    <col min="1" max="1" width="86.83203125" customWidth="1"/>
    <col min="2" max="3" width="16.83203125" customWidth="1"/>
  </cols>
  <sheetData>
    <row r="1" spans="1:3" ht="14">
      <c r="A1" s="301" t="str">
        <f>HYPERLINK("#'Index'!A1","Back to index")</f>
        <v>Back to index</v>
      </c>
    </row>
    <row r="2" spans="1:3" ht="25.75" customHeight="1">
      <c r="A2" s="315" t="s">
        <v>63</v>
      </c>
      <c r="B2" s="316"/>
      <c r="C2" s="316"/>
    </row>
    <row r="3" spans="1:3" ht="22.5" customHeight="1">
      <c r="A3" s="317" t="s">
        <v>601</v>
      </c>
      <c r="B3" s="316"/>
      <c r="C3" s="316"/>
    </row>
    <row r="4" spans="1:3">
      <c r="A4" s="338"/>
      <c r="B4" s="338"/>
      <c r="C4" s="338"/>
    </row>
    <row r="5" spans="1:3" ht="17">
      <c r="A5" s="244" t="s">
        <v>602</v>
      </c>
      <c r="B5" s="15" t="s">
        <v>603</v>
      </c>
      <c r="C5" s="39" t="s">
        <v>64</v>
      </c>
    </row>
    <row r="6" spans="1:3" ht="17">
      <c r="A6" s="6" t="s">
        <v>604</v>
      </c>
      <c r="B6" s="164" t="s">
        <v>605</v>
      </c>
      <c r="C6" s="65">
        <v>104054</v>
      </c>
    </row>
    <row r="7" spans="1:3" ht="17">
      <c r="A7" s="7" t="s">
        <v>606</v>
      </c>
      <c r="B7" s="165" t="s">
        <v>605</v>
      </c>
      <c r="C7" s="67">
        <v>270238</v>
      </c>
    </row>
    <row r="8" spans="1:3" ht="17">
      <c r="A8" s="7" t="s">
        <v>607</v>
      </c>
      <c r="B8" s="165" t="s">
        <v>605</v>
      </c>
      <c r="C8" s="67">
        <v>1210832</v>
      </c>
    </row>
    <row r="9" spans="1:3" ht="17">
      <c r="A9" s="166" t="s">
        <v>608</v>
      </c>
      <c r="B9" s="166" t="s">
        <v>605</v>
      </c>
      <c r="C9" s="67">
        <v>24770</v>
      </c>
    </row>
    <row r="10" spans="1:3" ht="34">
      <c r="A10" s="7" t="s">
        <v>609</v>
      </c>
      <c r="B10" s="167" t="s">
        <v>605</v>
      </c>
      <c r="C10" s="67">
        <v>1246064</v>
      </c>
    </row>
    <row r="11" spans="1:3" ht="19" customHeight="1">
      <c r="A11" s="9" t="s">
        <v>610</v>
      </c>
      <c r="B11" s="167" t="s">
        <v>605</v>
      </c>
      <c r="C11" s="98">
        <v>2855957</v>
      </c>
    </row>
    <row r="12" spans="1:3" ht="19" customHeight="1">
      <c r="A12" s="9" t="s">
        <v>611</v>
      </c>
      <c r="B12" s="167" t="s">
        <v>612</v>
      </c>
      <c r="C12" s="98">
        <v>91</v>
      </c>
    </row>
    <row r="13" spans="1:3" ht="17">
      <c r="A13" s="7" t="s">
        <v>613</v>
      </c>
      <c r="B13" s="167" t="s">
        <v>605</v>
      </c>
      <c r="C13" s="67">
        <v>71593</v>
      </c>
    </row>
    <row r="14" spans="1:3" ht="17">
      <c r="A14" s="7" t="s">
        <v>614</v>
      </c>
      <c r="B14" s="167" t="s">
        <v>612</v>
      </c>
      <c r="C14" s="67">
        <v>2</v>
      </c>
    </row>
    <row r="15" spans="1:3" ht="33" customHeight="1">
      <c r="A15" s="168" t="s">
        <v>615</v>
      </c>
      <c r="B15" s="167"/>
      <c r="C15" s="245"/>
    </row>
    <row r="16" spans="1:3" ht="19">
      <c r="A16" s="7" t="s">
        <v>616</v>
      </c>
      <c r="B16" s="167" t="s">
        <v>605</v>
      </c>
      <c r="C16" s="67">
        <v>2954</v>
      </c>
    </row>
    <row r="17" spans="1:3" ht="34">
      <c r="A17" s="7" t="s">
        <v>617</v>
      </c>
      <c r="B17" s="167" t="s">
        <v>605</v>
      </c>
      <c r="C17" s="67">
        <v>148975</v>
      </c>
    </row>
    <row r="18" spans="1:3" ht="34">
      <c r="A18" s="7" t="s">
        <v>618</v>
      </c>
      <c r="B18" s="167" t="s">
        <v>605</v>
      </c>
      <c r="C18" s="67">
        <v>60813</v>
      </c>
    </row>
    <row r="19" spans="1:3" ht="19" customHeight="1">
      <c r="A19" s="9" t="s">
        <v>619</v>
      </c>
      <c r="B19" s="167" t="s">
        <v>605</v>
      </c>
      <c r="C19" s="98">
        <v>212742</v>
      </c>
    </row>
    <row r="20" spans="1:3" ht="19" customHeight="1">
      <c r="A20" s="9" t="s">
        <v>620</v>
      </c>
      <c r="B20" s="167" t="s">
        <v>612</v>
      </c>
      <c r="C20" s="98">
        <v>7</v>
      </c>
    </row>
    <row r="21" spans="1:3" ht="19" customHeight="1">
      <c r="A21" s="10" t="s">
        <v>621</v>
      </c>
      <c r="B21" s="169" t="s">
        <v>605</v>
      </c>
      <c r="C21" s="99">
        <v>3140292</v>
      </c>
    </row>
    <row r="22" spans="1:3" ht="18" customHeight="1">
      <c r="A22" s="319" t="s">
        <v>1071</v>
      </c>
      <c r="B22" s="319"/>
      <c r="C22" s="319"/>
    </row>
  </sheetData>
  <mergeCells count="4">
    <mergeCell ref="A2:C2"/>
    <mergeCell ref="A3:C3"/>
    <mergeCell ref="A22:C22"/>
    <mergeCell ref="A4:C4"/>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7"/>
  <sheetViews>
    <sheetView showRuler="0" workbookViewId="0">
      <selection activeCell="A2" sqref="A2:B2"/>
    </sheetView>
  </sheetViews>
  <sheetFormatPr baseColWidth="10" defaultColWidth="12.83203125" defaultRowHeight="13"/>
  <cols>
    <col min="1" max="1" width="78.6640625" customWidth="1"/>
    <col min="2" max="2" width="16.83203125" customWidth="1"/>
  </cols>
  <sheetData>
    <row r="1" spans="1:2" ht="14">
      <c r="A1" s="301" t="str">
        <f>HYPERLINK("#'Index'!A1","Back to index")</f>
        <v>Back to index</v>
      </c>
    </row>
    <row r="2" spans="1:2" ht="25.75" customHeight="1">
      <c r="A2" s="315" t="s">
        <v>63</v>
      </c>
      <c r="B2" s="316"/>
    </row>
    <row r="3" spans="1:2" ht="22.5" customHeight="1">
      <c r="A3" s="317" t="s">
        <v>1106</v>
      </c>
      <c r="B3" s="316"/>
    </row>
    <row r="4" spans="1:2">
      <c r="A4" s="338"/>
      <c r="B4" s="338"/>
    </row>
    <row r="5" spans="1:2" ht="18" thickBot="1">
      <c r="A5" s="205" t="s">
        <v>622</v>
      </c>
      <c r="B5" s="309" t="s">
        <v>64</v>
      </c>
    </row>
    <row r="6" spans="1:2" ht="23" customHeight="1" thickBot="1">
      <c r="A6" s="310" t="s">
        <v>623</v>
      </c>
      <c r="B6" s="311">
        <v>173</v>
      </c>
    </row>
    <row r="7" spans="1:2" ht="72" customHeight="1">
      <c r="A7" s="319" t="s">
        <v>1107</v>
      </c>
      <c r="B7" s="319"/>
    </row>
  </sheetData>
  <mergeCells count="4">
    <mergeCell ref="A2:B2"/>
    <mergeCell ref="A3:B3"/>
    <mergeCell ref="A7:B7"/>
    <mergeCell ref="A4:B4"/>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8"/>
  <sheetViews>
    <sheetView showRuler="0" workbookViewId="0"/>
  </sheetViews>
  <sheetFormatPr baseColWidth="10" defaultColWidth="12.83203125" defaultRowHeight="13"/>
  <cols>
    <col min="1" max="1" width="78.6640625" customWidth="1"/>
    <col min="2" max="2" width="16.83203125" customWidth="1"/>
  </cols>
  <sheetData>
    <row r="1" spans="1:2" ht="14">
      <c r="A1" s="301" t="str">
        <f>HYPERLINK("#'Index'!A1","Back to index")</f>
        <v>Back to index</v>
      </c>
    </row>
    <row r="2" spans="1:2" ht="25.75" customHeight="1">
      <c r="A2" s="315" t="s">
        <v>63</v>
      </c>
      <c r="B2" s="316"/>
    </row>
    <row r="3" spans="1:2" ht="22.5" customHeight="1">
      <c r="A3" s="317" t="s">
        <v>624</v>
      </c>
      <c r="B3" s="316"/>
    </row>
    <row r="4" spans="1:2">
      <c r="A4" s="338"/>
      <c r="B4" s="338"/>
    </row>
    <row r="5" spans="1:2" ht="18" thickBot="1">
      <c r="A5" s="205" t="s">
        <v>625</v>
      </c>
      <c r="B5" s="309" t="s">
        <v>64</v>
      </c>
    </row>
    <row r="6" spans="1:2" ht="17">
      <c r="A6" s="176" t="s">
        <v>626</v>
      </c>
      <c r="B6" s="65">
        <v>7875</v>
      </c>
    </row>
    <row r="7" spans="1:2" ht="18" thickBot="1">
      <c r="A7" s="169" t="s">
        <v>627</v>
      </c>
      <c r="B7" s="68">
        <v>60813</v>
      </c>
    </row>
    <row r="8" spans="1:2">
      <c r="A8" s="329"/>
      <c r="B8" s="329"/>
    </row>
  </sheetData>
  <mergeCells count="4">
    <mergeCell ref="A2:B2"/>
    <mergeCell ref="A3:B3"/>
    <mergeCell ref="A8:B8"/>
    <mergeCell ref="A4:B4"/>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33"/>
  <sheetViews>
    <sheetView showRuler="0" workbookViewId="0">
      <selection activeCell="A2" sqref="A2:G2"/>
    </sheetView>
  </sheetViews>
  <sheetFormatPr baseColWidth="10" defaultColWidth="12.83203125" defaultRowHeight="13"/>
  <cols>
    <col min="1" max="1" width="77.83203125" customWidth="1"/>
    <col min="2" max="2" width="24.33203125" customWidth="1"/>
    <col min="3" max="7" width="16.83203125" customWidth="1"/>
  </cols>
  <sheetData>
    <row r="1" spans="1:8" ht="14">
      <c r="A1" s="301" t="str">
        <f>HYPERLINK("#'Index'!A1","Back to index")</f>
        <v>Back to index</v>
      </c>
    </row>
    <row r="2" spans="1:8" ht="25.75" customHeight="1">
      <c r="A2" s="315" t="s">
        <v>63</v>
      </c>
      <c r="B2" s="316"/>
      <c r="C2" s="316"/>
      <c r="D2" s="316"/>
      <c r="E2" s="316"/>
      <c r="F2" s="316"/>
      <c r="G2" s="316"/>
    </row>
    <row r="3" spans="1:8" ht="22.5" customHeight="1">
      <c r="A3" s="317" t="s">
        <v>36</v>
      </c>
      <c r="B3" s="316"/>
      <c r="C3" s="316"/>
      <c r="D3" s="316"/>
      <c r="E3" s="316"/>
      <c r="F3" s="316"/>
      <c r="G3" s="316"/>
    </row>
    <row r="4" spans="1:8" ht="16" customHeight="1">
      <c r="A4" s="338"/>
      <c r="B4" s="338"/>
      <c r="C4" s="338"/>
      <c r="D4" s="338"/>
      <c r="E4" s="338"/>
      <c r="F4" s="338"/>
      <c r="G4" s="338"/>
      <c r="H4" s="338"/>
    </row>
    <row r="5" spans="1:8" ht="23" customHeight="1">
      <c r="A5" s="15"/>
      <c r="B5" s="15"/>
      <c r="C5" s="248" t="s">
        <v>628</v>
      </c>
      <c r="D5" s="170"/>
      <c r="E5" s="349" t="s">
        <v>629</v>
      </c>
      <c r="F5" s="349"/>
      <c r="G5" s="349"/>
      <c r="H5" s="349"/>
    </row>
    <row r="6" spans="1:8" ht="51">
      <c r="A6" s="149"/>
      <c r="B6" s="143" t="s">
        <v>603</v>
      </c>
      <c r="C6" s="249" t="s">
        <v>64</v>
      </c>
      <c r="D6" s="143" t="s">
        <v>630</v>
      </c>
      <c r="E6" s="171" t="s">
        <v>631</v>
      </c>
      <c r="F6" s="171" t="s">
        <v>632</v>
      </c>
      <c r="G6" s="171" t="s">
        <v>633</v>
      </c>
      <c r="H6" s="143" t="s">
        <v>634</v>
      </c>
    </row>
    <row r="7" spans="1:8" ht="18" customHeight="1">
      <c r="A7" s="4" t="s">
        <v>635</v>
      </c>
      <c r="B7" s="246"/>
      <c r="C7" s="250"/>
      <c r="D7" s="246"/>
      <c r="E7" s="247"/>
      <c r="F7" s="247"/>
      <c r="G7" s="247"/>
      <c r="H7" s="247"/>
    </row>
    <row r="8" spans="1:8" ht="19">
      <c r="A8" s="7" t="s">
        <v>636</v>
      </c>
      <c r="B8" s="8" t="s">
        <v>637</v>
      </c>
      <c r="C8" s="251">
        <v>501.55</v>
      </c>
      <c r="D8" s="8" t="s">
        <v>638</v>
      </c>
      <c r="E8" s="8" t="s">
        <v>638</v>
      </c>
      <c r="F8" s="8" t="s">
        <v>638</v>
      </c>
      <c r="G8" s="8" t="s">
        <v>638</v>
      </c>
      <c r="H8" s="8" t="s">
        <v>638</v>
      </c>
    </row>
    <row r="9" spans="1:8" ht="17" customHeight="1">
      <c r="A9" s="7" t="s">
        <v>639</v>
      </c>
      <c r="B9" s="8" t="s">
        <v>612</v>
      </c>
      <c r="C9" s="252">
        <v>93</v>
      </c>
      <c r="D9" s="8" t="s">
        <v>638</v>
      </c>
      <c r="E9" s="8" t="s">
        <v>638</v>
      </c>
      <c r="F9" s="8" t="s">
        <v>638</v>
      </c>
      <c r="G9" s="8" t="s">
        <v>638</v>
      </c>
      <c r="H9" s="8" t="s">
        <v>638</v>
      </c>
    </row>
    <row r="10" spans="1:8" ht="17">
      <c r="A10" s="9" t="s">
        <v>640</v>
      </c>
      <c r="B10" s="257"/>
      <c r="C10" s="258"/>
      <c r="D10" s="257"/>
      <c r="E10" s="257"/>
      <c r="F10" s="257"/>
      <c r="G10" s="257"/>
      <c r="H10" s="257"/>
    </row>
    <row r="11" spans="1:8" ht="19">
      <c r="A11" s="7" t="s">
        <v>641</v>
      </c>
      <c r="B11" s="8" t="s">
        <v>637</v>
      </c>
      <c r="C11" s="251">
        <v>418.41</v>
      </c>
      <c r="D11" s="8" t="s">
        <v>638</v>
      </c>
      <c r="E11" s="8" t="s">
        <v>638</v>
      </c>
      <c r="F11" s="8" t="s">
        <v>638</v>
      </c>
      <c r="G11" s="8" t="s">
        <v>638</v>
      </c>
      <c r="H11" s="8" t="s">
        <v>638</v>
      </c>
    </row>
    <row r="12" spans="1:8" ht="19">
      <c r="A12" s="7" t="s">
        <v>642</v>
      </c>
      <c r="B12" s="8" t="s">
        <v>637</v>
      </c>
      <c r="C12" s="251">
        <v>467.27</v>
      </c>
      <c r="D12" s="8" t="s">
        <v>638</v>
      </c>
      <c r="E12" s="8" t="s">
        <v>638</v>
      </c>
      <c r="F12" s="8" t="s">
        <v>638</v>
      </c>
      <c r="G12" s="8" t="s">
        <v>638</v>
      </c>
      <c r="H12" s="8" t="s">
        <v>638</v>
      </c>
    </row>
    <row r="13" spans="1:8" ht="17" customHeight="1">
      <c r="A13" s="9" t="s">
        <v>643</v>
      </c>
      <c r="B13" s="8" t="s">
        <v>644</v>
      </c>
      <c r="C13" s="251">
        <v>968.82</v>
      </c>
      <c r="D13" s="88">
        <v>1554</v>
      </c>
      <c r="E13" s="8" t="s">
        <v>638</v>
      </c>
      <c r="F13" s="88">
        <v>777</v>
      </c>
      <c r="G13" s="8" t="s">
        <v>638</v>
      </c>
      <c r="H13" s="8" t="s">
        <v>638</v>
      </c>
    </row>
    <row r="14" spans="1:8" ht="17">
      <c r="A14" s="9" t="s">
        <v>645</v>
      </c>
      <c r="B14" s="257"/>
      <c r="C14" s="258"/>
      <c r="D14" s="257"/>
      <c r="E14" s="257"/>
      <c r="F14" s="257"/>
      <c r="G14" s="257"/>
      <c r="H14" s="257"/>
    </row>
    <row r="15" spans="1:8" ht="19">
      <c r="A15" s="7" t="s">
        <v>646</v>
      </c>
      <c r="B15" s="8" t="s">
        <v>637</v>
      </c>
      <c r="C15" s="251">
        <v>4513.84</v>
      </c>
      <c r="D15" s="8" t="s">
        <v>638</v>
      </c>
      <c r="E15" s="8" t="s">
        <v>638</v>
      </c>
      <c r="F15" s="8" t="s">
        <v>638</v>
      </c>
      <c r="G15" s="8" t="s">
        <v>638</v>
      </c>
      <c r="H15" s="8" t="s">
        <v>638</v>
      </c>
    </row>
    <row r="16" spans="1:8" ht="19">
      <c r="A16" s="7" t="s">
        <v>647</v>
      </c>
      <c r="B16" s="8" t="s">
        <v>637</v>
      </c>
      <c r="C16" s="251">
        <v>2596.9899999999998</v>
      </c>
      <c r="D16" s="8" t="s">
        <v>638</v>
      </c>
      <c r="E16" s="8" t="s">
        <v>638</v>
      </c>
      <c r="F16" s="8" t="s">
        <v>638</v>
      </c>
      <c r="G16" s="8" t="s">
        <v>638</v>
      </c>
      <c r="H16" s="8" t="s">
        <v>638</v>
      </c>
    </row>
    <row r="17" spans="1:8" ht="19">
      <c r="A17" s="7" t="s">
        <v>648</v>
      </c>
      <c r="B17" s="8" t="s">
        <v>637</v>
      </c>
      <c r="C17" s="251">
        <v>208.23</v>
      </c>
      <c r="D17" s="8" t="s">
        <v>638</v>
      </c>
      <c r="E17" s="8" t="s">
        <v>638</v>
      </c>
      <c r="F17" s="8" t="s">
        <v>638</v>
      </c>
      <c r="G17" s="8" t="s">
        <v>638</v>
      </c>
      <c r="H17" s="8" t="s">
        <v>638</v>
      </c>
    </row>
    <row r="18" spans="1:8" ht="20">
      <c r="A18" s="7" t="s">
        <v>649</v>
      </c>
      <c r="B18" s="8" t="s">
        <v>637</v>
      </c>
      <c r="C18" s="251">
        <v>321.89999999999998</v>
      </c>
      <c r="D18" s="8" t="s">
        <v>638</v>
      </c>
      <c r="E18" s="8" t="s">
        <v>638</v>
      </c>
      <c r="F18" s="8" t="s">
        <v>638</v>
      </c>
      <c r="G18" s="8" t="s">
        <v>638</v>
      </c>
      <c r="H18" s="8" t="s">
        <v>638</v>
      </c>
    </row>
    <row r="19" spans="1:8" ht="19">
      <c r="A19" s="7" t="s">
        <v>650</v>
      </c>
      <c r="B19" s="8" t="s">
        <v>637</v>
      </c>
      <c r="C19" s="251">
        <v>485.96</v>
      </c>
      <c r="D19" s="8" t="s">
        <v>638</v>
      </c>
      <c r="E19" s="8" t="s">
        <v>638</v>
      </c>
      <c r="F19" s="8" t="s">
        <v>638</v>
      </c>
      <c r="G19" s="8" t="s">
        <v>638</v>
      </c>
      <c r="H19" s="8" t="s">
        <v>638</v>
      </c>
    </row>
    <row r="20" spans="1:8" ht="19">
      <c r="A20" s="7" t="s">
        <v>651</v>
      </c>
      <c r="B20" s="8" t="s">
        <v>637</v>
      </c>
      <c r="C20" s="251">
        <v>38.94</v>
      </c>
      <c r="D20" s="8" t="s">
        <v>638</v>
      </c>
      <c r="E20" s="8" t="s">
        <v>638</v>
      </c>
      <c r="F20" s="8" t="s">
        <v>638</v>
      </c>
      <c r="G20" s="8" t="s">
        <v>638</v>
      </c>
      <c r="H20" s="8" t="s">
        <v>638</v>
      </c>
    </row>
    <row r="21" spans="1:8" ht="19">
      <c r="A21" s="7" t="s">
        <v>652</v>
      </c>
      <c r="B21" s="8" t="s">
        <v>637</v>
      </c>
      <c r="C21" s="251">
        <v>0.99</v>
      </c>
      <c r="D21" s="8" t="s">
        <v>638</v>
      </c>
      <c r="E21" s="8" t="s">
        <v>638</v>
      </c>
      <c r="F21" s="8" t="s">
        <v>638</v>
      </c>
      <c r="G21" s="8" t="s">
        <v>638</v>
      </c>
      <c r="H21" s="8" t="s">
        <v>638</v>
      </c>
    </row>
    <row r="22" spans="1:8" ht="19">
      <c r="A22" s="7" t="s">
        <v>653</v>
      </c>
      <c r="B22" s="8" t="s">
        <v>637</v>
      </c>
      <c r="C22" s="251">
        <v>3.96</v>
      </c>
      <c r="D22" s="8" t="s">
        <v>638</v>
      </c>
      <c r="E22" s="8" t="s">
        <v>638</v>
      </c>
      <c r="F22" s="8" t="s">
        <v>638</v>
      </c>
      <c r="G22" s="8" t="s">
        <v>638</v>
      </c>
      <c r="H22" s="8" t="s">
        <v>638</v>
      </c>
    </row>
    <row r="23" spans="1:8" ht="19">
      <c r="A23" s="7" t="s">
        <v>654</v>
      </c>
      <c r="B23" s="8" t="s">
        <v>637</v>
      </c>
      <c r="C23" s="251">
        <v>820.58</v>
      </c>
      <c r="D23" s="8" t="s">
        <v>638</v>
      </c>
      <c r="E23" s="8" t="s">
        <v>638</v>
      </c>
      <c r="F23" s="8" t="s">
        <v>638</v>
      </c>
      <c r="G23" s="8" t="s">
        <v>638</v>
      </c>
      <c r="H23" s="8" t="s">
        <v>638</v>
      </c>
    </row>
    <row r="24" spans="1:8" ht="19">
      <c r="A24" s="7" t="s">
        <v>655</v>
      </c>
      <c r="B24" s="8" t="s">
        <v>637</v>
      </c>
      <c r="C24" s="251">
        <v>36.29</v>
      </c>
      <c r="D24" s="8" t="s">
        <v>638</v>
      </c>
      <c r="E24" s="8" t="s">
        <v>638</v>
      </c>
      <c r="F24" s="8" t="s">
        <v>638</v>
      </c>
      <c r="G24" s="8" t="s">
        <v>638</v>
      </c>
      <c r="H24" s="8" t="s">
        <v>638</v>
      </c>
    </row>
    <row r="25" spans="1:8" ht="19">
      <c r="A25" s="7" t="s">
        <v>655</v>
      </c>
      <c r="B25" s="8" t="s">
        <v>637</v>
      </c>
      <c r="C25" s="251">
        <v>36.29</v>
      </c>
      <c r="D25" s="8" t="s">
        <v>638</v>
      </c>
      <c r="E25" s="8" t="s">
        <v>638</v>
      </c>
      <c r="F25" s="8" t="s">
        <v>638</v>
      </c>
      <c r="G25" s="8" t="s">
        <v>638</v>
      </c>
      <c r="H25" s="8" t="s">
        <v>638</v>
      </c>
    </row>
    <row r="26" spans="1:8" ht="18" customHeight="1">
      <c r="A26" s="9" t="s">
        <v>656</v>
      </c>
      <c r="B26" s="8" t="s">
        <v>657</v>
      </c>
      <c r="C26" s="253">
        <v>4.0999999999999996</v>
      </c>
      <c r="D26" s="88">
        <v>6</v>
      </c>
      <c r="E26" s="8" t="s">
        <v>638</v>
      </c>
      <c r="F26" s="172">
        <v>4.5</v>
      </c>
      <c r="G26" s="8" t="s">
        <v>638</v>
      </c>
      <c r="H26" s="8" t="s">
        <v>638</v>
      </c>
    </row>
    <row r="27" spans="1:8" ht="17">
      <c r="A27" s="9" t="s">
        <v>658</v>
      </c>
      <c r="B27" s="257"/>
      <c r="C27" s="258"/>
      <c r="D27" s="257"/>
      <c r="E27" s="257"/>
      <c r="F27" s="257"/>
      <c r="G27" s="257"/>
      <c r="H27" s="257"/>
    </row>
    <row r="28" spans="1:8" ht="19">
      <c r="A28" s="9" t="s">
        <v>659</v>
      </c>
      <c r="B28" s="8" t="s">
        <v>637</v>
      </c>
      <c r="C28" s="254">
        <v>5433.81</v>
      </c>
      <c r="D28" s="8" t="s">
        <v>638</v>
      </c>
      <c r="E28" s="8" t="s">
        <v>638</v>
      </c>
      <c r="F28" s="8" t="s">
        <v>638</v>
      </c>
      <c r="G28" s="8" t="s">
        <v>638</v>
      </c>
      <c r="H28" s="8" t="s">
        <v>638</v>
      </c>
    </row>
    <row r="29" spans="1:8" ht="19">
      <c r="A29" s="9" t="s">
        <v>660</v>
      </c>
      <c r="B29" s="8" t="s">
        <v>637</v>
      </c>
      <c r="C29" s="254">
        <v>5482.66</v>
      </c>
      <c r="D29" s="8" t="s">
        <v>638</v>
      </c>
      <c r="E29" s="8" t="s">
        <v>638</v>
      </c>
      <c r="F29" s="8" t="s">
        <v>638</v>
      </c>
      <c r="G29" s="8" t="s">
        <v>638</v>
      </c>
      <c r="H29" s="8" t="s">
        <v>638</v>
      </c>
    </row>
    <row r="30" spans="1:8" ht="19">
      <c r="A30" s="9" t="s">
        <v>661</v>
      </c>
      <c r="B30" s="257"/>
      <c r="C30" s="258"/>
      <c r="D30" s="257"/>
      <c r="E30" s="257"/>
      <c r="F30" s="257"/>
      <c r="G30" s="257"/>
      <c r="H30" s="257"/>
    </row>
    <row r="31" spans="1:8" ht="19">
      <c r="A31" s="7" t="s">
        <v>662</v>
      </c>
      <c r="B31" s="8" t="s">
        <v>663</v>
      </c>
      <c r="C31" s="255">
        <v>0.29899999999999999</v>
      </c>
      <c r="D31" s="8" t="s">
        <v>638</v>
      </c>
      <c r="E31" s="8" t="s">
        <v>638</v>
      </c>
      <c r="F31" s="8" t="s">
        <v>638</v>
      </c>
      <c r="G31" s="8" t="s">
        <v>638</v>
      </c>
      <c r="H31" s="8" t="s">
        <v>638</v>
      </c>
    </row>
    <row r="32" spans="1:8" ht="19">
      <c r="A32" s="11" t="s">
        <v>664</v>
      </c>
      <c r="B32" s="57" t="s">
        <v>663</v>
      </c>
      <c r="C32" s="256">
        <v>0.30199999999999999</v>
      </c>
      <c r="D32" s="57" t="s">
        <v>638</v>
      </c>
      <c r="E32" s="57" t="s">
        <v>638</v>
      </c>
      <c r="F32" s="57" t="s">
        <v>638</v>
      </c>
      <c r="G32" s="57" t="s">
        <v>638</v>
      </c>
      <c r="H32" s="57" t="s">
        <v>638</v>
      </c>
    </row>
    <row r="33" spans="1:8" ht="50" customHeight="1">
      <c r="A33" s="387" t="s">
        <v>1072</v>
      </c>
      <c r="B33" s="387"/>
      <c r="C33" s="387"/>
      <c r="D33" s="387"/>
      <c r="E33" s="387"/>
      <c r="F33" s="387"/>
      <c r="G33" s="387"/>
      <c r="H33" s="387"/>
    </row>
  </sheetData>
  <mergeCells count="5">
    <mergeCell ref="A2:G2"/>
    <mergeCell ref="A3:G3"/>
    <mergeCell ref="E5:H5"/>
    <mergeCell ref="A33:H33"/>
    <mergeCell ref="A4:H4"/>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17"/>
  <sheetViews>
    <sheetView showRuler="0" workbookViewId="0">
      <selection activeCell="A2" sqref="A2:B2"/>
    </sheetView>
  </sheetViews>
  <sheetFormatPr baseColWidth="10" defaultColWidth="12.83203125" defaultRowHeight="13"/>
  <cols>
    <col min="1" max="1" width="59.6640625" customWidth="1"/>
    <col min="2" max="4" width="16.83203125" customWidth="1"/>
  </cols>
  <sheetData>
    <row r="1" spans="1:2" ht="14">
      <c r="A1" s="301" t="str">
        <f>HYPERLINK("#'Index'!A1","Back to index")</f>
        <v>Back to index</v>
      </c>
    </row>
    <row r="2" spans="1:2" ht="25.75" customHeight="1">
      <c r="A2" s="315" t="s">
        <v>63</v>
      </c>
      <c r="B2" s="315"/>
    </row>
    <row r="3" spans="1:2" ht="22.5" customHeight="1">
      <c r="A3" s="317" t="s">
        <v>37</v>
      </c>
      <c r="B3" s="317"/>
    </row>
    <row r="4" spans="1:2">
      <c r="A4" s="338"/>
      <c r="B4" s="338"/>
    </row>
    <row r="5" spans="1:2" ht="17">
      <c r="A5" s="15" t="s">
        <v>665</v>
      </c>
      <c r="B5" s="39" t="s">
        <v>64</v>
      </c>
    </row>
    <row r="6" spans="1:2" ht="19">
      <c r="A6" s="16" t="s">
        <v>666</v>
      </c>
      <c r="B6" s="173">
        <v>4091732</v>
      </c>
    </row>
    <row r="7" spans="1:2" ht="17">
      <c r="A7" s="17" t="s">
        <v>667</v>
      </c>
      <c r="B7" s="174">
        <v>2956296</v>
      </c>
    </row>
    <row r="8" spans="1:2" ht="19">
      <c r="A8" s="17" t="s">
        <v>668</v>
      </c>
      <c r="B8" s="174">
        <v>862310</v>
      </c>
    </row>
    <row r="9" spans="1:2" ht="17">
      <c r="A9" s="7" t="s">
        <v>669</v>
      </c>
      <c r="B9" s="174">
        <v>1483</v>
      </c>
    </row>
    <row r="10" spans="1:2" ht="17">
      <c r="A10" s="17" t="s">
        <v>670</v>
      </c>
      <c r="B10" s="174">
        <v>90</v>
      </c>
    </row>
    <row r="11" spans="1:2" ht="17">
      <c r="A11" s="17" t="s">
        <v>671</v>
      </c>
      <c r="B11" s="174">
        <v>6418</v>
      </c>
    </row>
    <row r="12" spans="1:2" ht="17">
      <c r="A12" s="17" t="s">
        <v>672</v>
      </c>
      <c r="B12" s="174">
        <v>2215</v>
      </c>
    </row>
    <row r="13" spans="1:2" ht="17">
      <c r="A13" s="17" t="s">
        <v>673</v>
      </c>
      <c r="B13" s="174">
        <v>4386</v>
      </c>
    </row>
    <row r="14" spans="1:2" ht="17">
      <c r="A14" s="17" t="s">
        <v>674</v>
      </c>
      <c r="B14" s="174">
        <v>84</v>
      </c>
    </row>
    <row r="15" spans="1:2" ht="17">
      <c r="A15" s="17" t="s">
        <v>675</v>
      </c>
      <c r="B15" s="174">
        <v>311</v>
      </c>
    </row>
    <row r="16" spans="1:2" ht="17">
      <c r="A16" s="11" t="s">
        <v>676</v>
      </c>
      <c r="B16" s="175">
        <v>61</v>
      </c>
    </row>
    <row r="17" spans="1:2" ht="16">
      <c r="A17" s="32"/>
      <c r="B17" s="33"/>
    </row>
  </sheetData>
  <mergeCells count="3">
    <mergeCell ref="A3:B3"/>
    <mergeCell ref="A2:B2"/>
    <mergeCell ref="A4:B4"/>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8"/>
  <sheetViews>
    <sheetView showRuler="0" workbookViewId="0">
      <selection activeCell="A2" sqref="A2:B2"/>
    </sheetView>
  </sheetViews>
  <sheetFormatPr baseColWidth="10" defaultColWidth="12.83203125" defaultRowHeight="13"/>
  <cols>
    <col min="1" max="1" width="76.1640625" customWidth="1"/>
    <col min="2" max="4" width="16.83203125" customWidth="1"/>
  </cols>
  <sheetData>
    <row r="1" spans="1:2" ht="14">
      <c r="A1" s="301" t="str">
        <f>HYPERLINK("#'Index'!A1","Back to index")</f>
        <v>Back to index</v>
      </c>
    </row>
    <row r="2" spans="1:2" ht="25.75" customHeight="1">
      <c r="A2" s="315" t="s">
        <v>63</v>
      </c>
      <c r="B2" s="315"/>
    </row>
    <row r="3" spans="1:2" ht="22.5" customHeight="1">
      <c r="A3" s="317" t="s">
        <v>677</v>
      </c>
      <c r="B3" s="317"/>
    </row>
    <row r="4" spans="1:2">
      <c r="A4" s="338"/>
      <c r="B4" s="338"/>
    </row>
    <row r="5" spans="1:2" ht="17">
      <c r="A5" s="15" t="s">
        <v>678</v>
      </c>
      <c r="B5" s="39" t="s">
        <v>64</v>
      </c>
    </row>
    <row r="6" spans="1:2" ht="17">
      <c r="A6" s="16" t="s">
        <v>679</v>
      </c>
      <c r="B6" s="65">
        <v>2498401</v>
      </c>
    </row>
    <row r="7" spans="1:2" ht="17">
      <c r="A7" s="52" t="s">
        <v>680</v>
      </c>
      <c r="B7" s="68">
        <v>864709</v>
      </c>
    </row>
    <row r="8" spans="1:2" ht="51" customHeight="1">
      <c r="A8" s="390" t="s">
        <v>1073</v>
      </c>
      <c r="B8" s="390"/>
    </row>
  </sheetData>
  <mergeCells count="4">
    <mergeCell ref="A8:B8"/>
    <mergeCell ref="A2:B2"/>
    <mergeCell ref="A3:B3"/>
    <mergeCell ref="A4:B4"/>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17"/>
  <sheetViews>
    <sheetView showRuler="0" workbookViewId="0">
      <selection activeCell="A2" sqref="A2:B2"/>
    </sheetView>
  </sheetViews>
  <sheetFormatPr baseColWidth="10" defaultColWidth="12.83203125" defaultRowHeight="13"/>
  <cols>
    <col min="1" max="1" width="59.6640625" customWidth="1"/>
    <col min="2" max="2" width="19.83203125" customWidth="1"/>
    <col min="3" max="4" width="16.83203125" customWidth="1"/>
  </cols>
  <sheetData>
    <row r="1" spans="1:2" ht="14">
      <c r="A1" s="301" t="str">
        <f>HYPERLINK("#'Index'!A1","Back to index")</f>
        <v>Back to index</v>
      </c>
    </row>
    <row r="2" spans="1:2" ht="25.75" customHeight="1">
      <c r="A2" s="315" t="s">
        <v>63</v>
      </c>
      <c r="B2" s="315"/>
    </row>
    <row r="3" spans="1:2" ht="22.5" customHeight="1">
      <c r="A3" s="317" t="s">
        <v>38</v>
      </c>
      <c r="B3" s="317"/>
    </row>
    <row r="4" spans="1:2">
      <c r="A4" s="338"/>
      <c r="B4" s="338"/>
    </row>
    <row r="5" spans="1:2" ht="18" thickBot="1">
      <c r="A5" s="236" t="s">
        <v>681</v>
      </c>
      <c r="B5" s="39" t="s">
        <v>64</v>
      </c>
    </row>
    <row r="6" spans="1:2" ht="17">
      <c r="A6" s="235" t="s">
        <v>682</v>
      </c>
      <c r="B6" s="261">
        <v>0.45</v>
      </c>
    </row>
    <row r="7" spans="1:2" ht="17">
      <c r="A7" s="264" t="s">
        <v>683</v>
      </c>
      <c r="B7" s="265">
        <v>0.38</v>
      </c>
    </row>
    <row r="8" spans="1:2" ht="17">
      <c r="A8" s="264" t="s">
        <v>684</v>
      </c>
      <c r="B8" s="265">
        <v>0.70000000000000007</v>
      </c>
    </row>
    <row r="9" spans="1:2" ht="17">
      <c r="A9" s="264" t="s">
        <v>685</v>
      </c>
      <c r="B9" s="265">
        <v>0.36</v>
      </c>
    </row>
    <row r="10" spans="1:2" ht="17">
      <c r="A10" s="264" t="s">
        <v>686</v>
      </c>
      <c r="B10" s="265">
        <v>0.70000000000000007</v>
      </c>
    </row>
    <row r="11" spans="1:2" ht="17">
      <c r="A11" s="264" t="s">
        <v>560</v>
      </c>
      <c r="B11" s="265">
        <v>0.33</v>
      </c>
    </row>
    <row r="12" spans="1:2" ht="17">
      <c r="A12" s="264" t="s">
        <v>562</v>
      </c>
      <c r="B12" s="265">
        <v>0.57999999999999996</v>
      </c>
    </row>
    <row r="13" spans="1:2" ht="17">
      <c r="A13" s="264" t="s">
        <v>565</v>
      </c>
      <c r="B13" s="265">
        <v>1</v>
      </c>
    </row>
    <row r="14" spans="1:2" ht="17">
      <c r="A14" s="264" t="s">
        <v>687</v>
      </c>
      <c r="B14" s="265">
        <v>0.6</v>
      </c>
    </row>
    <row r="15" spans="1:2" ht="17">
      <c r="A15" s="264" t="s">
        <v>563</v>
      </c>
      <c r="B15" s="265">
        <v>0.95000000000000007</v>
      </c>
    </row>
    <row r="16" spans="1:2" ht="18" thickBot="1">
      <c r="A16" s="262" t="s">
        <v>688</v>
      </c>
      <c r="B16" s="263">
        <v>0.67</v>
      </c>
    </row>
    <row r="17" spans="1:2">
      <c r="A17" s="259"/>
      <c r="B17" s="260"/>
    </row>
  </sheetData>
  <mergeCells count="3">
    <mergeCell ref="A2:B2"/>
    <mergeCell ref="A3:B3"/>
    <mergeCell ref="A4:B4"/>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9"/>
  <sheetViews>
    <sheetView showRuler="0" workbookViewId="0">
      <selection activeCell="A2" sqref="A2:B2"/>
    </sheetView>
  </sheetViews>
  <sheetFormatPr baseColWidth="10" defaultColWidth="12.83203125" defaultRowHeight="13"/>
  <cols>
    <col min="1" max="1" width="56.5" customWidth="1"/>
    <col min="2" max="2" width="25.5" customWidth="1"/>
    <col min="3" max="4" width="16.83203125" customWidth="1"/>
  </cols>
  <sheetData>
    <row r="1" spans="1:2" ht="14">
      <c r="A1" s="301" t="str">
        <f>HYPERLINK("#'Index'!A1","Back to index")</f>
        <v>Back to index</v>
      </c>
    </row>
    <row r="2" spans="1:2" ht="25.75" customHeight="1">
      <c r="A2" s="315" t="s">
        <v>63</v>
      </c>
      <c r="B2" s="315"/>
    </row>
    <row r="3" spans="1:2" ht="22.5" customHeight="1">
      <c r="A3" s="317" t="s">
        <v>1082</v>
      </c>
      <c r="B3" s="317"/>
    </row>
    <row r="4" spans="1:2">
      <c r="A4" s="338"/>
      <c r="B4" s="338"/>
    </row>
    <row r="5" spans="1:2" ht="42" customHeight="1">
      <c r="A5" s="15" t="s">
        <v>689</v>
      </c>
      <c r="B5" s="39" t="s">
        <v>690</v>
      </c>
    </row>
    <row r="6" spans="1:2" ht="17">
      <c r="A6" s="176" t="s">
        <v>691</v>
      </c>
      <c r="B6" s="65">
        <v>4207</v>
      </c>
    </row>
    <row r="7" spans="1:2" ht="17">
      <c r="A7" s="167" t="s">
        <v>692</v>
      </c>
      <c r="B7" s="67">
        <v>1021</v>
      </c>
    </row>
    <row r="8" spans="1:2" ht="17">
      <c r="A8" s="169" t="s">
        <v>693</v>
      </c>
      <c r="B8" s="68">
        <v>1216</v>
      </c>
    </row>
    <row r="9" spans="1:2">
      <c r="A9" s="55"/>
      <c r="B9" s="55"/>
    </row>
  </sheetData>
  <mergeCells count="3">
    <mergeCell ref="A2:B2"/>
    <mergeCell ref="A3:B3"/>
    <mergeCell ref="A4:B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
  <sheetViews>
    <sheetView showRuler="0" workbookViewId="0">
      <selection activeCell="A2" sqref="A2:C2"/>
    </sheetView>
  </sheetViews>
  <sheetFormatPr baseColWidth="10" defaultColWidth="12.83203125" defaultRowHeight="13"/>
  <cols>
    <col min="1" max="1" width="24.1640625" customWidth="1"/>
    <col min="2" max="2" width="36.6640625" customWidth="1"/>
    <col min="3" max="3" width="145.1640625" customWidth="1"/>
  </cols>
  <sheetData>
    <row r="1" spans="1:4" ht="14">
      <c r="A1" s="301" t="str">
        <f>HYPERLINK("#'Index'!A1","Back to index")</f>
        <v>Back to index</v>
      </c>
    </row>
    <row r="2" spans="1:4" ht="25.75" customHeight="1">
      <c r="A2" s="315" t="s">
        <v>63</v>
      </c>
      <c r="B2" s="316"/>
      <c r="C2" s="316"/>
    </row>
    <row r="3" spans="1:4" ht="22.5" customHeight="1">
      <c r="A3" s="317" t="s">
        <v>4</v>
      </c>
      <c r="B3" s="316"/>
      <c r="C3" s="316"/>
      <c r="D3" s="37"/>
    </row>
    <row r="6" spans="1:4" ht="35.75" customHeight="1">
      <c r="A6" s="326" t="s">
        <v>189</v>
      </c>
      <c r="B6" s="34" t="s">
        <v>1036</v>
      </c>
      <c r="C6" s="34" t="s">
        <v>190</v>
      </c>
    </row>
    <row r="7" spans="1:4" ht="35.75" customHeight="1">
      <c r="A7" s="327"/>
      <c r="B7" s="35" t="s">
        <v>1037</v>
      </c>
      <c r="C7" s="17" t="s">
        <v>985</v>
      </c>
    </row>
    <row r="8" spans="1:4" ht="35.75" customHeight="1">
      <c r="A8" s="327"/>
      <c r="B8" s="35" t="s">
        <v>1038</v>
      </c>
      <c r="C8" s="35" t="s">
        <v>191</v>
      </c>
    </row>
    <row r="9" spans="1:4" ht="133" customHeight="1">
      <c r="A9" s="327" t="s">
        <v>1041</v>
      </c>
      <c r="B9" s="35" t="s">
        <v>1034</v>
      </c>
      <c r="C9" s="35" t="s">
        <v>987</v>
      </c>
    </row>
    <row r="10" spans="1:4" ht="118" customHeight="1">
      <c r="A10" s="328"/>
      <c r="B10" s="35" t="s">
        <v>1035</v>
      </c>
      <c r="C10" s="35" t="s">
        <v>988</v>
      </c>
    </row>
    <row r="11" spans="1:4" ht="35.75" customHeight="1">
      <c r="A11" s="327" t="s">
        <v>1039</v>
      </c>
      <c r="B11" s="327"/>
      <c r="C11" s="35" t="s">
        <v>986</v>
      </c>
    </row>
    <row r="12" spans="1:4" ht="38" customHeight="1">
      <c r="A12" s="327" t="s">
        <v>192</v>
      </c>
      <c r="B12" s="327"/>
      <c r="C12" s="35" t="s">
        <v>193</v>
      </c>
    </row>
    <row r="13" spans="1:4" ht="41" customHeight="1">
      <c r="A13" s="327" t="s">
        <v>1040</v>
      </c>
      <c r="B13" s="327"/>
      <c r="C13" s="35" t="s">
        <v>194</v>
      </c>
    </row>
    <row r="14" spans="1:4" ht="17">
      <c r="A14" s="327" t="s">
        <v>195</v>
      </c>
      <c r="B14" s="327"/>
      <c r="C14" s="35" t="s">
        <v>196</v>
      </c>
    </row>
    <row r="15" spans="1:4" ht="35.75" customHeight="1">
      <c r="A15" s="330" t="s">
        <v>197</v>
      </c>
      <c r="B15" s="330"/>
      <c r="C15" s="36" t="s">
        <v>198</v>
      </c>
    </row>
    <row r="16" spans="1:4">
      <c r="A16" s="329"/>
      <c r="B16" s="329"/>
      <c r="C16" s="329"/>
    </row>
  </sheetData>
  <mergeCells count="10">
    <mergeCell ref="A12:B12"/>
    <mergeCell ref="A13:B13"/>
    <mergeCell ref="A14:B14"/>
    <mergeCell ref="A16:C16"/>
    <mergeCell ref="A15:B15"/>
    <mergeCell ref="A2:C2"/>
    <mergeCell ref="A3:C3"/>
    <mergeCell ref="A6:A8"/>
    <mergeCell ref="A9:A10"/>
    <mergeCell ref="A11:B1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11"/>
  <sheetViews>
    <sheetView showRuler="0" workbookViewId="0">
      <selection activeCell="A2" sqref="A2:B2"/>
    </sheetView>
  </sheetViews>
  <sheetFormatPr baseColWidth="10" defaultColWidth="12.83203125" defaultRowHeight="13"/>
  <cols>
    <col min="1" max="1" width="67.83203125" customWidth="1"/>
    <col min="2" max="2" width="30" customWidth="1"/>
    <col min="3" max="4" width="16.83203125" customWidth="1"/>
  </cols>
  <sheetData>
    <row r="1" spans="1:2" ht="14">
      <c r="A1" s="301" t="str">
        <f>HYPERLINK("#'Index'!A1","Back to index")</f>
        <v>Back to index</v>
      </c>
    </row>
    <row r="2" spans="1:2" ht="25.75" customHeight="1">
      <c r="A2" s="315" t="s">
        <v>63</v>
      </c>
      <c r="B2" s="315"/>
    </row>
    <row r="3" spans="1:2" ht="22.5" customHeight="1">
      <c r="A3" s="317" t="s">
        <v>39</v>
      </c>
      <c r="B3" s="317"/>
    </row>
    <row r="4" spans="1:2">
      <c r="A4" s="338"/>
      <c r="B4" s="338"/>
    </row>
    <row r="5" spans="1:2" ht="34">
      <c r="A5" s="177" t="s">
        <v>164</v>
      </c>
      <c r="B5" s="39" t="s">
        <v>690</v>
      </c>
    </row>
    <row r="6" spans="1:2" ht="17">
      <c r="A6" s="6" t="s">
        <v>694</v>
      </c>
      <c r="B6" s="65">
        <v>6127</v>
      </c>
    </row>
    <row r="7" spans="1:2" ht="17">
      <c r="A7" s="167" t="s">
        <v>695</v>
      </c>
      <c r="B7" s="67">
        <v>1063</v>
      </c>
    </row>
    <row r="8" spans="1:2" ht="19">
      <c r="A8" s="7" t="s">
        <v>696</v>
      </c>
      <c r="B8" s="47" t="s">
        <v>697</v>
      </c>
    </row>
    <row r="9" spans="1:2" ht="17">
      <c r="A9" s="7" t="s">
        <v>698</v>
      </c>
      <c r="B9" s="47" t="s">
        <v>697</v>
      </c>
    </row>
    <row r="10" spans="1:2" ht="17">
      <c r="A10" s="10" t="s">
        <v>699</v>
      </c>
      <c r="B10" s="99">
        <v>7190</v>
      </c>
    </row>
    <row r="11" spans="1:2" ht="29" customHeight="1">
      <c r="A11" s="319" t="s">
        <v>1074</v>
      </c>
      <c r="B11" s="319"/>
    </row>
  </sheetData>
  <mergeCells count="4">
    <mergeCell ref="A11:B11"/>
    <mergeCell ref="A2:B2"/>
    <mergeCell ref="A3:B3"/>
    <mergeCell ref="A4:B4"/>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F11"/>
  <sheetViews>
    <sheetView showRuler="0" workbookViewId="0">
      <selection activeCell="A2" sqref="A2:F2"/>
    </sheetView>
  </sheetViews>
  <sheetFormatPr baseColWidth="10" defaultColWidth="12.83203125" defaultRowHeight="13"/>
  <cols>
    <col min="1" max="1" width="56.5" customWidth="1"/>
    <col min="2" max="4" width="16.83203125" customWidth="1"/>
  </cols>
  <sheetData>
    <row r="1" spans="1:6" ht="14">
      <c r="A1" s="301" t="str">
        <f>HYPERLINK("#'Index'!A1","Back to index")</f>
        <v>Back to index</v>
      </c>
    </row>
    <row r="2" spans="1:6" ht="25.75" customHeight="1">
      <c r="A2" s="315" t="s">
        <v>63</v>
      </c>
      <c r="B2" s="316"/>
      <c r="C2" s="316"/>
      <c r="D2" s="316"/>
      <c r="E2" s="316"/>
      <c r="F2" s="316"/>
    </row>
    <row r="3" spans="1:6" ht="22.5" customHeight="1">
      <c r="A3" s="317" t="s">
        <v>700</v>
      </c>
      <c r="B3" s="316"/>
      <c r="C3" s="316"/>
      <c r="D3" s="316"/>
      <c r="E3" s="316"/>
      <c r="F3" s="316"/>
    </row>
    <row r="4" spans="1:6">
      <c r="A4" s="338"/>
      <c r="B4" s="338"/>
      <c r="C4" s="338"/>
      <c r="D4" s="338"/>
      <c r="E4" s="338"/>
      <c r="F4" s="338"/>
    </row>
    <row r="5" spans="1:6" ht="16">
      <c r="A5" s="178"/>
      <c r="B5" s="389" t="s">
        <v>701</v>
      </c>
      <c r="C5" s="391"/>
      <c r="D5" s="391"/>
      <c r="E5" s="391"/>
      <c r="F5" s="391"/>
    </row>
    <row r="6" spans="1:6" ht="34">
      <c r="A6" s="177"/>
      <c r="B6" s="142" t="s">
        <v>694</v>
      </c>
      <c r="C6" s="142" t="s">
        <v>695</v>
      </c>
      <c r="D6" s="142" t="s">
        <v>702</v>
      </c>
      <c r="E6" s="142" t="s">
        <v>703</v>
      </c>
      <c r="F6" s="142" t="s">
        <v>704</v>
      </c>
    </row>
    <row r="7" spans="1:6" ht="20" customHeight="1">
      <c r="A7" s="6" t="s">
        <v>705</v>
      </c>
      <c r="B7" s="65">
        <v>6127</v>
      </c>
      <c r="C7" s="65">
        <v>1063</v>
      </c>
      <c r="D7" s="45" t="s">
        <v>697</v>
      </c>
      <c r="E7" s="45" t="s">
        <v>697</v>
      </c>
      <c r="F7" s="65">
        <v>7190</v>
      </c>
    </row>
    <row r="8" spans="1:6" ht="33.25" customHeight="1">
      <c r="A8" s="7" t="s">
        <v>706</v>
      </c>
      <c r="B8" s="67">
        <v>5600</v>
      </c>
      <c r="C8" s="67">
        <v>955</v>
      </c>
      <c r="D8" s="47" t="s">
        <v>697</v>
      </c>
      <c r="E8" s="47" t="s">
        <v>697</v>
      </c>
      <c r="F8" s="67">
        <v>6555</v>
      </c>
    </row>
    <row r="9" spans="1:6" ht="35.75" customHeight="1">
      <c r="A9" s="11" t="s">
        <v>707</v>
      </c>
      <c r="B9" s="68">
        <v>527</v>
      </c>
      <c r="C9" s="68">
        <v>108</v>
      </c>
      <c r="D9" s="179" t="s">
        <v>697</v>
      </c>
      <c r="E9" s="179" t="s">
        <v>697</v>
      </c>
      <c r="F9" s="68">
        <v>635</v>
      </c>
    </row>
    <row r="10" spans="1:6" ht="31" customHeight="1">
      <c r="A10" s="387" t="s">
        <v>1075</v>
      </c>
      <c r="B10" s="387"/>
      <c r="C10" s="387"/>
      <c r="D10" s="387"/>
      <c r="E10" s="387"/>
      <c r="F10" s="387"/>
    </row>
    <row r="11" spans="1:6" ht="15.75" customHeight="1">
      <c r="A11" s="392"/>
      <c r="B11" s="393"/>
      <c r="C11" s="393"/>
      <c r="D11" s="393"/>
      <c r="E11" s="393"/>
      <c r="F11" s="393"/>
    </row>
  </sheetData>
  <mergeCells count="6">
    <mergeCell ref="A2:F2"/>
    <mergeCell ref="A3:F3"/>
    <mergeCell ref="B5:F5"/>
    <mergeCell ref="A11:F11"/>
    <mergeCell ref="A10:F10"/>
    <mergeCell ref="A4:F4"/>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12"/>
  <sheetViews>
    <sheetView showRuler="0" workbookViewId="0">
      <selection activeCell="A2" sqref="A2:D2"/>
    </sheetView>
  </sheetViews>
  <sheetFormatPr baseColWidth="10" defaultColWidth="12.83203125" defaultRowHeight="13"/>
  <cols>
    <col min="1" max="1" width="23.83203125" customWidth="1"/>
    <col min="2" max="4" width="36.83203125" customWidth="1"/>
  </cols>
  <sheetData>
    <row r="1" spans="1:4" ht="14">
      <c r="A1" s="301" t="str">
        <f>HYPERLINK("#'Index'!A1","Back to index")</f>
        <v>Back to index</v>
      </c>
    </row>
    <row r="2" spans="1:4" ht="25.75" customHeight="1">
      <c r="A2" s="315" t="s">
        <v>63</v>
      </c>
      <c r="B2" s="316"/>
      <c r="C2" s="316"/>
      <c r="D2" s="316"/>
    </row>
    <row r="3" spans="1:4" ht="22.5" customHeight="1">
      <c r="A3" s="317" t="s">
        <v>1083</v>
      </c>
      <c r="B3" s="316"/>
      <c r="C3" s="316"/>
      <c r="D3" s="316"/>
    </row>
    <row r="4" spans="1:4">
      <c r="A4" s="338"/>
      <c r="B4" s="338"/>
      <c r="C4" s="338"/>
      <c r="D4" s="338"/>
    </row>
    <row r="5" spans="1:4" ht="17">
      <c r="A5" s="177"/>
      <c r="B5" s="349" t="s">
        <v>708</v>
      </c>
      <c r="C5" s="349"/>
      <c r="D5" s="38" t="s">
        <v>709</v>
      </c>
    </row>
    <row r="6" spans="1:4" ht="17">
      <c r="A6" s="149" t="s">
        <v>710</v>
      </c>
      <c r="B6" s="143" t="s">
        <v>711</v>
      </c>
      <c r="C6" s="143" t="s">
        <v>712</v>
      </c>
      <c r="D6" s="143" t="s">
        <v>713</v>
      </c>
    </row>
    <row r="7" spans="1:4" ht="17">
      <c r="A7" s="176" t="s">
        <v>714</v>
      </c>
      <c r="B7" s="5" t="s">
        <v>638</v>
      </c>
      <c r="C7" s="5" t="s">
        <v>422</v>
      </c>
      <c r="D7" s="5" t="s">
        <v>638</v>
      </c>
    </row>
    <row r="8" spans="1:4" ht="17">
      <c r="A8" s="167" t="s">
        <v>715</v>
      </c>
      <c r="B8" s="8" t="s">
        <v>638</v>
      </c>
      <c r="C8" s="8" t="s">
        <v>638</v>
      </c>
      <c r="D8" s="8" t="s">
        <v>638</v>
      </c>
    </row>
    <row r="9" spans="1:4" ht="17">
      <c r="A9" s="167" t="s">
        <v>716</v>
      </c>
      <c r="B9" s="8" t="s">
        <v>638</v>
      </c>
      <c r="C9" s="8" t="s">
        <v>638</v>
      </c>
      <c r="D9" s="8" t="s">
        <v>717</v>
      </c>
    </row>
    <row r="10" spans="1:4" ht="17">
      <c r="A10" s="167" t="s">
        <v>718</v>
      </c>
      <c r="B10" s="8" t="s">
        <v>638</v>
      </c>
      <c r="C10" s="8" t="s">
        <v>638</v>
      </c>
      <c r="D10" s="8" t="s">
        <v>692</v>
      </c>
    </row>
    <row r="11" spans="1:4" ht="34">
      <c r="A11" s="169" t="s">
        <v>719</v>
      </c>
      <c r="B11" s="57" t="s">
        <v>720</v>
      </c>
      <c r="C11" s="57" t="s">
        <v>638</v>
      </c>
      <c r="D11" s="57" t="s">
        <v>721</v>
      </c>
    </row>
    <row r="12" spans="1:4" ht="16">
      <c r="A12" s="32"/>
      <c r="B12" s="32"/>
      <c r="C12" s="32"/>
      <c r="D12" s="32"/>
    </row>
  </sheetData>
  <mergeCells count="4">
    <mergeCell ref="A2:D2"/>
    <mergeCell ref="A3:D3"/>
    <mergeCell ref="B5:C5"/>
    <mergeCell ref="A4:D4"/>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C11"/>
  <sheetViews>
    <sheetView showRuler="0" workbookViewId="0">
      <selection activeCell="A2" sqref="A2:C2"/>
    </sheetView>
  </sheetViews>
  <sheetFormatPr baseColWidth="10" defaultColWidth="12.83203125" defaultRowHeight="13"/>
  <cols>
    <col min="1" max="1" width="64.1640625" customWidth="1"/>
    <col min="2" max="4" width="16.83203125" customWidth="1"/>
  </cols>
  <sheetData>
    <row r="1" spans="1:3" ht="14">
      <c r="A1" s="301" t="str">
        <f>HYPERLINK("#'Index'!A1","Back to index")</f>
        <v>Back to index</v>
      </c>
    </row>
    <row r="2" spans="1:3" ht="25.75" customHeight="1">
      <c r="A2" s="315" t="s">
        <v>63</v>
      </c>
      <c r="B2" s="315"/>
      <c r="C2" s="315"/>
    </row>
    <row r="3" spans="1:3" ht="22.5" customHeight="1">
      <c r="A3" s="317" t="s">
        <v>40</v>
      </c>
      <c r="B3" s="317"/>
      <c r="C3" s="317"/>
    </row>
    <row r="4" spans="1:3">
      <c r="A4" s="338"/>
      <c r="B4" s="338"/>
      <c r="C4" s="338"/>
    </row>
    <row r="5" spans="1:3" ht="17">
      <c r="A5" s="177" t="s">
        <v>164</v>
      </c>
      <c r="B5" s="39" t="s">
        <v>722</v>
      </c>
      <c r="C5" s="39" t="s">
        <v>723</v>
      </c>
    </row>
    <row r="6" spans="1:3" ht="17">
      <c r="A6" s="176" t="s">
        <v>695</v>
      </c>
      <c r="B6" s="65">
        <v>41</v>
      </c>
      <c r="C6" s="65">
        <v>20</v>
      </c>
    </row>
    <row r="7" spans="1:3" ht="17">
      <c r="A7" s="167" t="s">
        <v>694</v>
      </c>
      <c r="B7" s="67">
        <v>161</v>
      </c>
      <c r="C7" s="67">
        <v>80</v>
      </c>
    </row>
    <row r="8" spans="1:3" ht="19">
      <c r="A8" s="7" t="s">
        <v>696</v>
      </c>
      <c r="B8" s="47" t="s">
        <v>697</v>
      </c>
      <c r="C8" s="47" t="s">
        <v>697</v>
      </c>
    </row>
    <row r="9" spans="1:3" ht="17">
      <c r="A9" s="167" t="s">
        <v>703</v>
      </c>
      <c r="B9" s="47" t="s">
        <v>697</v>
      </c>
      <c r="C9" s="47" t="s">
        <v>697</v>
      </c>
    </row>
    <row r="10" spans="1:3" ht="17">
      <c r="A10" s="180" t="s">
        <v>724</v>
      </c>
      <c r="B10" s="99">
        <v>202</v>
      </c>
      <c r="C10" s="99">
        <v>100</v>
      </c>
    </row>
    <row r="11" spans="1:3" ht="31" customHeight="1">
      <c r="A11" s="387" t="s">
        <v>1074</v>
      </c>
      <c r="B11" s="387"/>
      <c r="C11" s="387"/>
    </row>
  </sheetData>
  <mergeCells count="4">
    <mergeCell ref="A11:C11"/>
    <mergeCell ref="A3:C3"/>
    <mergeCell ref="A2:C2"/>
    <mergeCell ref="A4:C4"/>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10"/>
  <sheetViews>
    <sheetView showRuler="0" workbookViewId="0">
      <selection activeCell="A2" sqref="A2:B2"/>
    </sheetView>
  </sheetViews>
  <sheetFormatPr baseColWidth="10" defaultColWidth="12.83203125" defaultRowHeight="13"/>
  <cols>
    <col min="1" max="1" width="70.5" customWidth="1"/>
    <col min="2" max="4" width="16.83203125" customWidth="1"/>
  </cols>
  <sheetData>
    <row r="1" spans="1:2" ht="14">
      <c r="A1" s="301" t="str">
        <f>HYPERLINK("#'Index'!A1","Back to index")</f>
        <v>Back to index</v>
      </c>
    </row>
    <row r="2" spans="1:2" ht="25.75" customHeight="1">
      <c r="A2" s="315" t="s">
        <v>63</v>
      </c>
      <c r="B2" s="316"/>
    </row>
    <row r="3" spans="1:2" ht="22.5" customHeight="1">
      <c r="A3" s="317" t="s">
        <v>41</v>
      </c>
      <c r="B3" s="316"/>
    </row>
    <row r="4" spans="1:2">
      <c r="A4" s="338"/>
      <c r="B4" s="338"/>
    </row>
    <row r="5" spans="1:2" ht="17">
      <c r="A5" s="177" t="s">
        <v>725</v>
      </c>
      <c r="B5" s="39" t="s">
        <v>722</v>
      </c>
    </row>
    <row r="6" spans="1:2" ht="17">
      <c r="A6" s="176" t="s">
        <v>726</v>
      </c>
      <c r="B6" s="65">
        <v>1371</v>
      </c>
    </row>
    <row r="7" spans="1:2" ht="17">
      <c r="A7" s="167" t="s">
        <v>727</v>
      </c>
      <c r="B7" s="67">
        <v>3815</v>
      </c>
    </row>
    <row r="8" spans="1:2" ht="17">
      <c r="A8" s="167" t="s">
        <v>581</v>
      </c>
      <c r="B8" s="67">
        <v>2004</v>
      </c>
    </row>
    <row r="9" spans="1:2" ht="17">
      <c r="A9" s="180" t="s">
        <v>724</v>
      </c>
      <c r="B9" s="99">
        <v>7190</v>
      </c>
    </row>
    <row r="10" spans="1:2" ht="16">
      <c r="A10" s="32"/>
      <c r="B10" s="33"/>
    </row>
  </sheetData>
  <mergeCells count="3">
    <mergeCell ref="A2:B2"/>
    <mergeCell ref="A3:B3"/>
    <mergeCell ref="A4:B4"/>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10"/>
  <sheetViews>
    <sheetView showRuler="0" workbookViewId="0">
      <selection activeCell="A2" sqref="A2:B2"/>
    </sheetView>
  </sheetViews>
  <sheetFormatPr baseColWidth="10" defaultColWidth="12.83203125" defaultRowHeight="13"/>
  <cols>
    <col min="1" max="1" width="69.6640625" customWidth="1"/>
    <col min="2" max="2" width="38.1640625" customWidth="1"/>
    <col min="3" max="4" width="16.83203125" customWidth="1"/>
  </cols>
  <sheetData>
    <row r="1" spans="1:2" ht="14">
      <c r="A1" s="301" t="str">
        <f>HYPERLINK("#'Index'!A1","Back to index")</f>
        <v>Back to index</v>
      </c>
    </row>
    <row r="2" spans="1:2" ht="25.75" customHeight="1">
      <c r="A2" s="315" t="s">
        <v>63</v>
      </c>
      <c r="B2" s="315"/>
    </row>
    <row r="3" spans="1:2" ht="22.5" customHeight="1">
      <c r="A3" s="317" t="s">
        <v>42</v>
      </c>
      <c r="B3" s="317"/>
    </row>
    <row r="4" spans="1:2">
      <c r="A4" s="338"/>
      <c r="B4" s="338"/>
    </row>
    <row r="5" spans="1:2" ht="51">
      <c r="A5" s="177" t="s">
        <v>164</v>
      </c>
      <c r="B5" s="39" t="s">
        <v>728</v>
      </c>
    </row>
    <row r="6" spans="1:2" ht="17">
      <c r="A6" s="176" t="s">
        <v>695</v>
      </c>
      <c r="B6" s="181">
        <v>22.7</v>
      </c>
    </row>
    <row r="7" spans="1:2" ht="17">
      <c r="A7" s="167" t="s">
        <v>694</v>
      </c>
      <c r="B7" s="182">
        <v>22.8</v>
      </c>
    </row>
    <row r="8" spans="1:2" ht="19">
      <c r="A8" s="7" t="s">
        <v>696</v>
      </c>
      <c r="B8" s="47" t="s">
        <v>697</v>
      </c>
    </row>
    <row r="9" spans="1:2" ht="17">
      <c r="A9" s="180" t="s">
        <v>724</v>
      </c>
      <c r="B9" s="305">
        <v>22.8</v>
      </c>
    </row>
    <row r="10" spans="1:2" ht="32" customHeight="1">
      <c r="A10" s="387" t="s">
        <v>1074</v>
      </c>
      <c r="B10" s="387"/>
    </row>
  </sheetData>
  <mergeCells count="4">
    <mergeCell ref="A10:B10"/>
    <mergeCell ref="A2:B2"/>
    <mergeCell ref="A3:B3"/>
    <mergeCell ref="A4:B4"/>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17"/>
  <sheetViews>
    <sheetView showRuler="0" workbookViewId="0">
      <selection activeCell="A2" sqref="A2:B2"/>
    </sheetView>
  </sheetViews>
  <sheetFormatPr baseColWidth="10" defaultColWidth="12.83203125" defaultRowHeight="13"/>
  <cols>
    <col min="1" max="1" width="98.5" customWidth="1"/>
    <col min="2" max="4" width="16.83203125" customWidth="1"/>
  </cols>
  <sheetData>
    <row r="1" spans="1:2" ht="14">
      <c r="A1" s="301" t="str">
        <f>HYPERLINK("#'Index'!A1","Back to index")</f>
        <v>Back to index</v>
      </c>
    </row>
    <row r="2" spans="1:2" ht="25.75" customHeight="1">
      <c r="A2" s="315" t="s">
        <v>63</v>
      </c>
      <c r="B2" s="315"/>
    </row>
    <row r="3" spans="1:2" ht="22.5" customHeight="1">
      <c r="A3" s="317" t="s">
        <v>43</v>
      </c>
      <c r="B3" s="317"/>
    </row>
    <row r="4" spans="1:2">
      <c r="A4" s="338"/>
      <c r="B4" s="338"/>
    </row>
    <row r="5" spans="1:2" ht="17">
      <c r="A5" s="15"/>
      <c r="B5" s="39" t="s">
        <v>701</v>
      </c>
    </row>
    <row r="6" spans="1:2" ht="19">
      <c r="A6" s="4" t="s">
        <v>729</v>
      </c>
      <c r="B6" s="306">
        <v>1</v>
      </c>
    </row>
    <row r="7" spans="1:2" ht="17">
      <c r="A7" s="167" t="s">
        <v>730</v>
      </c>
      <c r="B7" s="266">
        <v>0</v>
      </c>
    </row>
    <row r="8" spans="1:2" ht="17">
      <c r="A8" s="167" t="s">
        <v>731</v>
      </c>
      <c r="B8" s="266">
        <v>1</v>
      </c>
    </row>
    <row r="9" spans="1:2" ht="19">
      <c r="A9" s="9" t="s">
        <v>732</v>
      </c>
      <c r="B9" s="307">
        <v>316</v>
      </c>
    </row>
    <row r="10" spans="1:2" ht="17">
      <c r="A10" s="167" t="s">
        <v>733</v>
      </c>
      <c r="B10" s="266">
        <v>234</v>
      </c>
    </row>
    <row r="11" spans="1:2" ht="17">
      <c r="A11" s="167" t="s">
        <v>734</v>
      </c>
      <c r="B11" s="266">
        <v>82</v>
      </c>
    </row>
    <row r="12" spans="1:2" ht="19">
      <c r="A12" s="9" t="s">
        <v>735</v>
      </c>
      <c r="B12" s="308" t="s">
        <v>1079</v>
      </c>
    </row>
    <row r="13" spans="1:2" ht="17">
      <c r="A13" s="167" t="s">
        <v>736</v>
      </c>
      <c r="B13" s="267" t="s">
        <v>1080</v>
      </c>
    </row>
    <row r="14" spans="1:2" ht="17">
      <c r="A14" s="169" t="s">
        <v>737</v>
      </c>
      <c r="B14" s="268" t="s">
        <v>1081</v>
      </c>
    </row>
    <row r="15" spans="1:2" ht="55" customHeight="1">
      <c r="A15" s="319" t="s">
        <v>1076</v>
      </c>
      <c r="B15" s="319"/>
    </row>
    <row r="16" spans="1:2" ht="57" customHeight="1">
      <c r="A16" s="394" t="s">
        <v>1077</v>
      </c>
      <c r="B16" s="394"/>
    </row>
    <row r="17" spans="1:2" ht="18" customHeight="1">
      <c r="A17" s="394" t="s">
        <v>1078</v>
      </c>
      <c r="B17" s="394"/>
    </row>
  </sheetData>
  <mergeCells count="6">
    <mergeCell ref="A15:B15"/>
    <mergeCell ref="A16:B16"/>
    <mergeCell ref="A17:B17"/>
    <mergeCell ref="A2:B2"/>
    <mergeCell ref="A3:B3"/>
    <mergeCell ref="A4:B4"/>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9"/>
  <sheetViews>
    <sheetView showRuler="0" workbookViewId="0">
      <selection activeCell="A2" sqref="A2:B2"/>
    </sheetView>
  </sheetViews>
  <sheetFormatPr baseColWidth="10" defaultColWidth="12.83203125" defaultRowHeight="13"/>
  <cols>
    <col min="1" max="1" width="92.83203125" customWidth="1"/>
    <col min="2" max="2" width="18.83203125" customWidth="1"/>
    <col min="3" max="4" width="16.83203125" customWidth="1"/>
  </cols>
  <sheetData>
    <row r="1" spans="1:2" ht="14">
      <c r="A1" s="301" t="str">
        <f>HYPERLINK("#'Index'!A1","Back to index")</f>
        <v>Back to index</v>
      </c>
    </row>
    <row r="2" spans="1:2" ht="25.75" customHeight="1">
      <c r="A2" s="315" t="s">
        <v>63</v>
      </c>
      <c r="B2" s="316"/>
    </row>
    <row r="3" spans="1:2" ht="43.25" customHeight="1">
      <c r="A3" s="317" t="s">
        <v>1084</v>
      </c>
      <c r="B3" s="316"/>
    </row>
    <row r="4" spans="1:2">
      <c r="A4" s="338"/>
      <c r="B4" s="338"/>
    </row>
    <row r="5" spans="1:2" ht="17">
      <c r="A5" s="177"/>
      <c r="B5" s="39" t="s">
        <v>701</v>
      </c>
    </row>
    <row r="6" spans="1:2" ht="17">
      <c r="A6" s="176" t="s">
        <v>738</v>
      </c>
      <c r="B6" s="183">
        <v>12</v>
      </c>
    </row>
    <row r="7" spans="1:2" ht="35.75" customHeight="1">
      <c r="A7" s="7" t="s">
        <v>739</v>
      </c>
      <c r="B7" s="184">
        <v>5</v>
      </c>
    </row>
    <row r="8" spans="1:2" ht="36">
      <c r="A8" s="11" t="s">
        <v>740</v>
      </c>
      <c r="B8" s="185">
        <v>0</v>
      </c>
    </row>
    <row r="9" spans="1:2" ht="32" customHeight="1">
      <c r="A9" s="319" t="s">
        <v>1085</v>
      </c>
      <c r="B9" s="319"/>
    </row>
  </sheetData>
  <mergeCells count="4">
    <mergeCell ref="A2:B2"/>
    <mergeCell ref="A3:B3"/>
    <mergeCell ref="A9:B9"/>
    <mergeCell ref="A4:B4"/>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T19"/>
  <sheetViews>
    <sheetView showRuler="0" workbookViewId="0">
      <selection activeCell="A2" sqref="A2:K2"/>
    </sheetView>
  </sheetViews>
  <sheetFormatPr baseColWidth="10" defaultColWidth="12.83203125" defaultRowHeight="13"/>
  <cols>
    <col min="1" max="1" width="64.83203125" customWidth="1"/>
    <col min="2" max="20" width="16.83203125" customWidth="1"/>
  </cols>
  <sheetData>
    <row r="1" spans="1:20" ht="14">
      <c r="A1" s="301" t="str">
        <f>HYPERLINK("#'Index'!A1","Back to index")</f>
        <v>Back to index</v>
      </c>
    </row>
    <row r="2" spans="1:20" ht="25.75" customHeight="1">
      <c r="A2" s="315" t="s">
        <v>63</v>
      </c>
      <c r="B2" s="316"/>
      <c r="C2" s="316"/>
      <c r="D2" s="316"/>
      <c r="E2" s="316"/>
      <c r="F2" s="316"/>
      <c r="G2" s="316"/>
      <c r="H2" s="316"/>
      <c r="I2" s="316"/>
      <c r="J2" s="316"/>
      <c r="K2" s="316"/>
    </row>
    <row r="3" spans="1:20" ht="22.5" customHeight="1">
      <c r="A3" s="317" t="s">
        <v>44</v>
      </c>
      <c r="B3" s="316"/>
      <c r="C3" s="316"/>
      <c r="D3" s="316"/>
      <c r="E3" s="316"/>
      <c r="F3" s="316"/>
      <c r="G3" s="316"/>
      <c r="H3" s="316"/>
      <c r="I3" s="316"/>
      <c r="J3" s="316"/>
      <c r="K3" s="316"/>
    </row>
    <row r="4" spans="1:20" ht="16" customHeight="1"/>
    <row r="5" spans="1:20" ht="19.25" customHeight="1" thickBot="1">
      <c r="A5" s="312" t="s">
        <v>270</v>
      </c>
      <c r="B5" s="349" t="s">
        <v>64</v>
      </c>
      <c r="C5" s="349"/>
      <c r="D5" s="349"/>
      <c r="E5" s="349" t="s">
        <v>741</v>
      </c>
      <c r="F5" s="349"/>
      <c r="G5" s="349"/>
      <c r="H5" s="349"/>
      <c r="I5" s="349"/>
      <c r="J5" s="349"/>
      <c r="K5" s="349" t="s">
        <v>742</v>
      </c>
      <c r="L5" s="349"/>
      <c r="M5" s="349"/>
      <c r="N5" s="349"/>
      <c r="O5" s="349"/>
      <c r="P5" s="349"/>
      <c r="Q5" s="56"/>
      <c r="R5" s="56"/>
      <c r="S5" s="56"/>
      <c r="T5" s="56"/>
    </row>
    <row r="6" spans="1:20" ht="110" customHeight="1" thickBot="1">
      <c r="A6" s="15" t="s">
        <v>587</v>
      </c>
      <c r="B6" s="143" t="s">
        <v>743</v>
      </c>
      <c r="C6" s="143" t="s">
        <v>744</v>
      </c>
      <c r="D6" s="143" t="s">
        <v>1015</v>
      </c>
      <c r="E6" s="143" t="s">
        <v>1014</v>
      </c>
      <c r="F6" s="143" t="s">
        <v>1017</v>
      </c>
      <c r="G6" s="143" t="s">
        <v>745</v>
      </c>
      <c r="H6" s="143" t="s">
        <v>746</v>
      </c>
      <c r="I6" s="143" t="s">
        <v>747</v>
      </c>
      <c r="J6" s="143" t="s">
        <v>748</v>
      </c>
      <c r="K6" s="143" t="s">
        <v>1014</v>
      </c>
      <c r="L6" s="143" t="s">
        <v>1016</v>
      </c>
      <c r="M6" s="143" t="s">
        <v>745</v>
      </c>
      <c r="N6" s="143" t="s">
        <v>1012</v>
      </c>
      <c r="O6" s="143" t="s">
        <v>747</v>
      </c>
      <c r="P6" s="143" t="s">
        <v>748</v>
      </c>
      <c r="Q6" s="38" t="s">
        <v>1013</v>
      </c>
      <c r="R6" s="38" t="s">
        <v>1018</v>
      </c>
      <c r="S6" s="38" t="s">
        <v>1019</v>
      </c>
      <c r="T6" s="38" t="s">
        <v>1020</v>
      </c>
    </row>
    <row r="7" spans="1:20" ht="17">
      <c r="A7" s="149"/>
      <c r="B7" s="143"/>
      <c r="C7" s="143" t="s">
        <v>591</v>
      </c>
      <c r="D7" s="143" t="s">
        <v>240</v>
      </c>
      <c r="E7" s="143" t="s">
        <v>749</v>
      </c>
      <c r="F7" s="143" t="s">
        <v>749</v>
      </c>
      <c r="G7" s="143" t="s">
        <v>749</v>
      </c>
      <c r="H7" s="143" t="s">
        <v>749</v>
      </c>
      <c r="I7" s="143" t="s">
        <v>749</v>
      </c>
      <c r="J7" s="143" t="s">
        <v>749</v>
      </c>
      <c r="K7" s="143" t="s">
        <v>750</v>
      </c>
      <c r="L7" s="143" t="s">
        <v>750</v>
      </c>
      <c r="M7" s="143" t="s">
        <v>750</v>
      </c>
      <c r="N7" s="143" t="s">
        <v>750</v>
      </c>
      <c r="O7" s="143" t="s">
        <v>750</v>
      </c>
      <c r="P7" s="143" t="s">
        <v>750</v>
      </c>
      <c r="Q7" s="143" t="s">
        <v>750</v>
      </c>
      <c r="R7" s="143" t="s">
        <v>240</v>
      </c>
      <c r="S7" s="143" t="s">
        <v>751</v>
      </c>
      <c r="T7" s="143" t="s">
        <v>752</v>
      </c>
    </row>
    <row r="8" spans="1:20" ht="17">
      <c r="A8" s="186" t="s">
        <v>753</v>
      </c>
      <c r="B8" s="101"/>
      <c r="C8" s="101"/>
      <c r="D8" s="101"/>
      <c r="E8" s="101"/>
      <c r="F8" s="101"/>
      <c r="G8" s="101"/>
      <c r="H8" s="101"/>
      <c r="I8" s="101"/>
      <c r="J8" s="101"/>
      <c r="K8" s="101"/>
      <c r="L8" s="101"/>
      <c r="M8" s="101"/>
      <c r="N8" s="101"/>
      <c r="O8" s="101"/>
      <c r="P8" s="101"/>
      <c r="Q8" s="101"/>
      <c r="R8" s="101"/>
      <c r="S8" s="101"/>
      <c r="T8" s="5"/>
    </row>
    <row r="9" spans="1:20" ht="17">
      <c r="A9" s="9" t="s">
        <v>593</v>
      </c>
      <c r="B9" s="8"/>
      <c r="C9" s="8"/>
      <c r="D9" s="8"/>
      <c r="E9" s="8"/>
      <c r="F9" s="8"/>
      <c r="G9" s="8"/>
      <c r="H9" s="8"/>
      <c r="I9" s="8"/>
      <c r="J9" s="8"/>
      <c r="K9" s="8"/>
      <c r="L9" s="8"/>
      <c r="M9" s="8"/>
      <c r="N9" s="8"/>
      <c r="O9" s="8"/>
      <c r="P9" s="8"/>
      <c r="Q9" s="8"/>
      <c r="R9" s="8"/>
      <c r="S9" s="8"/>
      <c r="T9" s="8"/>
    </row>
    <row r="10" spans="1:20" ht="18" customHeight="1">
      <c r="A10" s="7" t="s">
        <v>754</v>
      </c>
      <c r="B10" s="8"/>
      <c r="C10" s="160">
        <v>0</v>
      </c>
      <c r="D10" s="232">
        <v>0</v>
      </c>
      <c r="E10" s="104" t="s">
        <v>755</v>
      </c>
      <c r="F10" s="104" t="s">
        <v>755</v>
      </c>
      <c r="G10" s="104" t="s">
        <v>755</v>
      </c>
      <c r="H10" s="104" t="s">
        <v>755</v>
      </c>
      <c r="I10" s="104" t="s">
        <v>755</v>
      </c>
      <c r="J10" s="104" t="s">
        <v>755</v>
      </c>
      <c r="K10" s="8"/>
      <c r="L10" s="8"/>
      <c r="M10" s="8"/>
      <c r="N10" s="8"/>
      <c r="O10" s="8"/>
      <c r="P10" s="8"/>
      <c r="Q10" s="8"/>
      <c r="R10" s="104" t="s">
        <v>755</v>
      </c>
      <c r="S10" s="257"/>
      <c r="T10" s="257"/>
    </row>
    <row r="11" spans="1:20" ht="17">
      <c r="A11" s="81" t="s">
        <v>756</v>
      </c>
      <c r="B11" s="8"/>
      <c r="C11" s="160">
        <v>0</v>
      </c>
      <c r="D11" s="232">
        <v>0</v>
      </c>
      <c r="E11" s="104" t="s">
        <v>755</v>
      </c>
      <c r="F11" s="104" t="s">
        <v>755</v>
      </c>
      <c r="G11" s="104" t="s">
        <v>755</v>
      </c>
      <c r="H11" s="104" t="s">
        <v>755</v>
      </c>
      <c r="I11" s="104" t="s">
        <v>755</v>
      </c>
      <c r="J11" s="104" t="s">
        <v>755</v>
      </c>
      <c r="K11" s="8"/>
      <c r="L11" s="8"/>
      <c r="M11" s="8"/>
      <c r="N11" s="8"/>
      <c r="O11" s="8"/>
      <c r="P11" s="8"/>
      <c r="Q11" s="8"/>
      <c r="R11" s="104" t="s">
        <v>755</v>
      </c>
      <c r="S11" s="8" t="s">
        <v>751</v>
      </c>
      <c r="T11" s="257"/>
    </row>
    <row r="12" spans="1:20" ht="17">
      <c r="A12" s="81" t="s">
        <v>757</v>
      </c>
      <c r="B12" s="8"/>
      <c r="C12" s="160">
        <v>0</v>
      </c>
      <c r="D12" s="232">
        <v>0</v>
      </c>
      <c r="E12" s="104" t="s">
        <v>755</v>
      </c>
      <c r="F12" s="257"/>
      <c r="G12" s="257"/>
      <c r="H12" s="257"/>
      <c r="I12" s="257"/>
      <c r="J12" s="257"/>
      <c r="K12" s="8"/>
      <c r="L12" s="8"/>
      <c r="M12" s="8"/>
      <c r="N12" s="8"/>
      <c r="O12" s="8"/>
      <c r="P12" s="8"/>
      <c r="Q12" s="8"/>
      <c r="R12" s="104" t="s">
        <v>755</v>
      </c>
      <c r="S12" s="257"/>
      <c r="T12" s="8" t="s">
        <v>752</v>
      </c>
    </row>
    <row r="13" spans="1:20" ht="34">
      <c r="A13" s="9" t="s">
        <v>595</v>
      </c>
      <c r="B13" s="8"/>
      <c r="C13" s="8"/>
      <c r="D13" s="232"/>
      <c r="E13" s="8"/>
      <c r="F13" s="8"/>
      <c r="G13" s="8"/>
      <c r="H13" s="8"/>
      <c r="I13" s="8"/>
      <c r="J13" s="8"/>
      <c r="K13" s="8"/>
      <c r="L13" s="8"/>
      <c r="M13" s="8"/>
      <c r="N13" s="8"/>
      <c r="O13" s="8"/>
      <c r="P13" s="8"/>
      <c r="Q13" s="8"/>
      <c r="R13" s="8"/>
      <c r="S13" s="8"/>
      <c r="T13" s="8"/>
    </row>
    <row r="14" spans="1:20" ht="34">
      <c r="A14" s="7" t="s">
        <v>758</v>
      </c>
      <c r="B14" s="8"/>
      <c r="C14" s="160">
        <v>0</v>
      </c>
      <c r="D14" s="232">
        <v>0</v>
      </c>
      <c r="E14" s="104" t="s">
        <v>755</v>
      </c>
      <c r="F14" s="104" t="s">
        <v>755</v>
      </c>
      <c r="G14" s="104" t="s">
        <v>755</v>
      </c>
      <c r="H14" s="104" t="s">
        <v>755</v>
      </c>
      <c r="I14" s="104" t="s">
        <v>755</v>
      </c>
      <c r="J14" s="104" t="s">
        <v>755</v>
      </c>
      <c r="K14" s="257"/>
      <c r="L14" s="257"/>
      <c r="M14" s="257"/>
      <c r="N14" s="257"/>
      <c r="O14" s="257"/>
      <c r="P14" s="257"/>
      <c r="Q14" s="257"/>
      <c r="R14" s="104" t="s">
        <v>755</v>
      </c>
      <c r="S14" s="257"/>
      <c r="T14" s="257"/>
    </row>
    <row r="15" spans="1:20" ht="17">
      <c r="A15" s="168" t="s">
        <v>759</v>
      </c>
      <c r="B15" s="103"/>
      <c r="C15" s="160">
        <v>0</v>
      </c>
      <c r="D15" s="232">
        <v>0</v>
      </c>
      <c r="E15" s="104" t="s">
        <v>755</v>
      </c>
      <c r="F15" s="104" t="s">
        <v>755</v>
      </c>
      <c r="G15" s="104" t="s">
        <v>755</v>
      </c>
      <c r="H15" s="104" t="s">
        <v>755</v>
      </c>
      <c r="I15" s="104" t="s">
        <v>755</v>
      </c>
      <c r="J15" s="104" t="s">
        <v>755</v>
      </c>
      <c r="K15" s="271"/>
      <c r="L15" s="271"/>
      <c r="M15" s="271"/>
      <c r="N15" s="271"/>
      <c r="O15" s="271"/>
      <c r="P15" s="271"/>
      <c r="Q15" s="271"/>
      <c r="R15" s="104" t="s">
        <v>755</v>
      </c>
      <c r="S15" s="271"/>
      <c r="T15" s="271"/>
    </row>
    <row r="16" spans="1:20" ht="17">
      <c r="A16" s="168" t="s">
        <v>760</v>
      </c>
      <c r="B16" s="103"/>
      <c r="C16" s="103"/>
      <c r="D16" s="269"/>
      <c r="E16" s="188"/>
      <c r="F16" s="188"/>
      <c r="G16" s="188"/>
      <c r="H16" s="188"/>
      <c r="I16" s="188"/>
      <c r="J16" s="188"/>
      <c r="K16" s="188"/>
      <c r="L16" s="188"/>
      <c r="M16" s="188"/>
      <c r="N16" s="188"/>
      <c r="O16" s="188"/>
      <c r="P16" s="188"/>
      <c r="Q16" s="188"/>
      <c r="R16" s="188"/>
      <c r="S16" s="188"/>
      <c r="T16" s="100"/>
    </row>
    <row r="17" spans="1:20" ht="17">
      <c r="A17" s="7" t="s">
        <v>761</v>
      </c>
      <c r="B17" s="8"/>
      <c r="C17" s="160">
        <v>18171053</v>
      </c>
      <c r="D17" s="232" t="s">
        <v>1086</v>
      </c>
      <c r="E17" s="100"/>
      <c r="F17" s="100"/>
      <c r="G17" s="100"/>
      <c r="H17" s="100"/>
      <c r="I17" s="100"/>
      <c r="J17" s="100"/>
      <c r="K17" s="100"/>
      <c r="L17" s="100"/>
      <c r="M17" s="100"/>
      <c r="N17" s="100"/>
      <c r="O17" s="100"/>
      <c r="P17" s="100"/>
      <c r="Q17" s="100"/>
      <c r="R17" s="100"/>
      <c r="S17" s="100"/>
      <c r="T17" s="100"/>
    </row>
    <row r="18" spans="1:20" ht="17">
      <c r="A18" s="10" t="s">
        <v>724</v>
      </c>
      <c r="B18" s="84"/>
      <c r="C18" s="163">
        <v>18171053</v>
      </c>
      <c r="D18" s="270" t="s">
        <v>1086</v>
      </c>
      <c r="E18" s="38"/>
      <c r="F18" s="38"/>
      <c r="G18" s="38"/>
      <c r="H18" s="38"/>
      <c r="I18" s="38"/>
      <c r="J18" s="38"/>
      <c r="K18" s="38"/>
      <c r="L18" s="38"/>
      <c r="M18" s="38"/>
      <c r="N18" s="38"/>
      <c r="O18" s="38"/>
      <c r="P18" s="38"/>
      <c r="Q18" s="38"/>
      <c r="R18" s="38"/>
      <c r="S18" s="38"/>
      <c r="T18" s="38"/>
    </row>
    <row r="19" spans="1:20" ht="16">
      <c r="A19" s="365"/>
      <c r="B19" s="365"/>
      <c r="C19" s="365"/>
      <c r="D19" s="365"/>
      <c r="E19" s="365"/>
      <c r="F19" s="365"/>
      <c r="G19" s="365"/>
      <c r="H19" s="365"/>
      <c r="I19" s="365"/>
      <c r="J19" s="365"/>
      <c r="K19" s="365"/>
      <c r="L19" s="365"/>
      <c r="M19" s="32"/>
      <c r="N19" s="32"/>
      <c r="O19" s="32"/>
      <c r="P19" s="32"/>
      <c r="Q19" s="32"/>
      <c r="R19" s="32"/>
      <c r="S19" s="32"/>
      <c r="T19" s="32"/>
    </row>
  </sheetData>
  <mergeCells count="6">
    <mergeCell ref="A2:K2"/>
    <mergeCell ref="K5:P5"/>
    <mergeCell ref="A19:L19"/>
    <mergeCell ref="B5:D5"/>
    <mergeCell ref="E5:J5"/>
    <mergeCell ref="A3:K3"/>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C13"/>
  <sheetViews>
    <sheetView showRuler="0" workbookViewId="0">
      <selection activeCell="A2" sqref="A2:C2"/>
    </sheetView>
  </sheetViews>
  <sheetFormatPr baseColWidth="10" defaultColWidth="12.83203125" defaultRowHeight="13"/>
  <cols>
    <col min="1" max="1" width="62.1640625" customWidth="1"/>
    <col min="2" max="3" width="41.33203125" customWidth="1"/>
  </cols>
  <sheetData>
    <row r="1" spans="1:3" ht="14">
      <c r="A1" s="301" t="str">
        <f>HYPERLINK("#'Index'!A1","Back to index")</f>
        <v>Back to index</v>
      </c>
    </row>
    <row r="2" spans="1:3" ht="25.75" customHeight="1">
      <c r="A2" s="315" t="s">
        <v>63</v>
      </c>
      <c r="B2" s="316"/>
      <c r="C2" s="316"/>
    </row>
    <row r="3" spans="1:3" ht="22.5" customHeight="1">
      <c r="A3" s="317" t="s">
        <v>45</v>
      </c>
      <c r="B3" s="316"/>
      <c r="C3" s="316"/>
    </row>
    <row r="4" spans="1:3">
      <c r="A4" s="338"/>
      <c r="B4" s="338"/>
      <c r="C4" s="338"/>
    </row>
    <row r="5" spans="1:3" ht="19.25" customHeight="1">
      <c r="A5" s="56"/>
      <c r="B5" s="395" t="s">
        <v>45</v>
      </c>
      <c r="C5" s="395"/>
    </row>
    <row r="6" spans="1:3" ht="17">
      <c r="A6" s="15"/>
      <c r="B6" s="143" t="s">
        <v>762</v>
      </c>
      <c r="C6" s="143" t="s">
        <v>763</v>
      </c>
    </row>
    <row r="7" spans="1:3" ht="17">
      <c r="A7" s="272" t="s">
        <v>764</v>
      </c>
      <c r="B7" s="273">
        <v>0</v>
      </c>
      <c r="C7" s="273">
        <v>0</v>
      </c>
    </row>
    <row r="8" spans="1:3" ht="17">
      <c r="A8" s="274" t="s">
        <v>765</v>
      </c>
      <c r="B8" s="275">
        <v>0</v>
      </c>
      <c r="C8" s="275">
        <v>0</v>
      </c>
    </row>
    <row r="9" spans="1:3" ht="17">
      <c r="A9" s="274" t="s">
        <v>766</v>
      </c>
      <c r="B9" s="275">
        <v>0</v>
      </c>
      <c r="C9" s="275">
        <v>0</v>
      </c>
    </row>
    <row r="10" spans="1:3" ht="17">
      <c r="A10" s="274" t="s">
        <v>767</v>
      </c>
      <c r="B10" s="275">
        <v>0</v>
      </c>
      <c r="C10" s="275">
        <v>0</v>
      </c>
    </row>
    <row r="11" spans="1:3" ht="17">
      <c r="A11" s="274" t="s">
        <v>768</v>
      </c>
      <c r="B11" s="275">
        <v>0</v>
      </c>
      <c r="C11" s="275">
        <v>0</v>
      </c>
    </row>
    <row r="12" spans="1:3" ht="17">
      <c r="A12" s="276" t="s">
        <v>769</v>
      </c>
      <c r="B12" s="277">
        <v>0</v>
      </c>
      <c r="C12" s="277">
        <v>0</v>
      </c>
    </row>
    <row r="13" spans="1:3" ht="16">
      <c r="A13" s="42"/>
      <c r="B13" s="42"/>
      <c r="C13" s="42"/>
    </row>
  </sheetData>
  <mergeCells count="4">
    <mergeCell ref="A2:C2"/>
    <mergeCell ref="A3:C3"/>
    <mergeCell ref="B5:C5"/>
    <mergeCell ref="A4:C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1"/>
  <sheetViews>
    <sheetView showRuler="0" workbookViewId="0">
      <selection activeCell="A2" sqref="A2:E2"/>
    </sheetView>
  </sheetViews>
  <sheetFormatPr baseColWidth="10" defaultColWidth="12.83203125" defaultRowHeight="13"/>
  <cols>
    <col min="1" max="1" width="56.5" customWidth="1"/>
    <col min="2" max="5" width="17" customWidth="1"/>
  </cols>
  <sheetData>
    <row r="1" spans="1:5" ht="15.75" customHeight="1">
      <c r="A1" s="301" t="str">
        <f>HYPERLINK("#'Index'!A1","Back to index")</f>
        <v>Back to index</v>
      </c>
    </row>
    <row r="2" spans="1:5" ht="25.75" customHeight="1">
      <c r="A2" s="315" t="s">
        <v>63</v>
      </c>
      <c r="B2" s="316"/>
      <c r="C2" s="316"/>
      <c r="D2" s="316"/>
      <c r="E2" s="316"/>
    </row>
    <row r="3" spans="1:5" ht="23" customHeight="1">
      <c r="A3" s="317" t="s">
        <v>5</v>
      </c>
      <c r="B3" s="316"/>
      <c r="C3" s="316"/>
      <c r="D3" s="316"/>
      <c r="E3" s="316"/>
    </row>
    <row r="4" spans="1:5" ht="17.5" customHeight="1">
      <c r="B4" s="43"/>
    </row>
    <row r="5" spans="1:5" ht="15" customHeight="1">
      <c r="A5" s="15"/>
      <c r="B5" s="38" t="s">
        <v>199</v>
      </c>
      <c r="C5" s="38" t="s">
        <v>200</v>
      </c>
      <c r="D5" s="38" t="s">
        <v>201</v>
      </c>
      <c r="E5" s="39" t="s">
        <v>202</v>
      </c>
    </row>
    <row r="6" spans="1:5" ht="15" customHeight="1">
      <c r="A6" s="6" t="s">
        <v>203</v>
      </c>
      <c r="B6" s="40">
        <v>248.1</v>
      </c>
      <c r="C6" s="40">
        <v>413.5</v>
      </c>
      <c r="D6" s="40">
        <v>578.9</v>
      </c>
      <c r="E6" s="41">
        <v>354.5</v>
      </c>
    </row>
    <row r="7" spans="1:5" ht="15" customHeight="1">
      <c r="A7" s="11" t="s">
        <v>204</v>
      </c>
      <c r="B7" s="202" t="s">
        <v>1047</v>
      </c>
      <c r="C7" s="202" t="s">
        <v>1048</v>
      </c>
      <c r="D7" s="202" t="s">
        <v>1049</v>
      </c>
      <c r="E7" s="203" t="s">
        <v>1050</v>
      </c>
    </row>
    <row r="8" spans="1:5" ht="15" customHeight="1">
      <c r="A8" s="331"/>
      <c r="B8" s="331"/>
      <c r="C8" s="331"/>
      <c r="D8" s="331"/>
      <c r="E8" s="331"/>
    </row>
    <row r="9" spans="1:5" ht="15" customHeight="1"/>
    <row r="10" spans="1:5" ht="15" customHeight="1"/>
    <row r="11" spans="1:5" ht="15" customHeight="1"/>
    <row r="12" spans="1:5" ht="15" customHeight="1"/>
    <row r="13" spans="1:5" ht="15" customHeight="1"/>
    <row r="14" spans="1:5" ht="15" customHeight="1"/>
    <row r="15" spans="1:5" ht="15" customHeight="1"/>
    <row r="16" spans="1:5"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sheetData>
  <mergeCells count="3">
    <mergeCell ref="A2:E2"/>
    <mergeCell ref="A3:E3"/>
    <mergeCell ref="A8:E8"/>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T19"/>
  <sheetViews>
    <sheetView showRuler="0" workbookViewId="0">
      <selection activeCell="A2" sqref="A2:K2"/>
    </sheetView>
  </sheetViews>
  <sheetFormatPr baseColWidth="10" defaultColWidth="12.83203125" defaultRowHeight="13"/>
  <cols>
    <col min="1" max="1" width="62.1640625" customWidth="1"/>
    <col min="2" max="20" width="16.83203125" customWidth="1"/>
  </cols>
  <sheetData>
    <row r="1" spans="1:20" ht="14">
      <c r="A1" s="301" t="str">
        <f>HYPERLINK("#'Index'!A1","Back to index")</f>
        <v>Back to index</v>
      </c>
    </row>
    <row r="2" spans="1:20" ht="25.75" customHeight="1">
      <c r="A2" s="315" t="s">
        <v>63</v>
      </c>
      <c r="B2" s="316"/>
      <c r="C2" s="316"/>
      <c r="D2" s="316"/>
      <c r="E2" s="316"/>
      <c r="F2" s="316"/>
      <c r="G2" s="316"/>
      <c r="H2" s="316"/>
      <c r="I2" s="316"/>
      <c r="J2" s="316"/>
      <c r="K2" s="316"/>
    </row>
    <row r="3" spans="1:20" ht="22.5" customHeight="1">
      <c r="A3" s="317" t="s">
        <v>46</v>
      </c>
      <c r="B3" s="316"/>
      <c r="C3" s="316"/>
      <c r="D3" s="316"/>
      <c r="E3" s="316"/>
      <c r="F3" s="316"/>
      <c r="G3" s="316"/>
      <c r="H3" s="316"/>
      <c r="I3" s="316"/>
    </row>
    <row r="4" spans="1:20" ht="16" customHeight="1">
      <c r="A4" s="338"/>
      <c r="B4" s="338"/>
      <c r="C4" s="338"/>
      <c r="D4" s="338"/>
      <c r="E4" s="338"/>
      <c r="F4" s="338"/>
      <c r="G4" s="338"/>
      <c r="H4" s="338"/>
      <c r="I4" s="338"/>
      <c r="J4" s="338"/>
      <c r="K4" s="338"/>
      <c r="L4" s="338"/>
      <c r="M4" s="338"/>
      <c r="N4" s="338"/>
      <c r="O4" s="338"/>
      <c r="P4" s="338"/>
      <c r="Q4" s="338"/>
      <c r="R4" s="338"/>
      <c r="S4" s="338"/>
      <c r="T4" s="338"/>
    </row>
    <row r="5" spans="1:20" ht="19.25" customHeight="1" thickBot="1">
      <c r="A5" s="312" t="s">
        <v>270</v>
      </c>
      <c r="B5" s="349" t="s">
        <v>64</v>
      </c>
      <c r="C5" s="349"/>
      <c r="D5" s="349"/>
      <c r="E5" s="349" t="s">
        <v>741</v>
      </c>
      <c r="F5" s="349"/>
      <c r="G5" s="349"/>
      <c r="H5" s="349"/>
      <c r="I5" s="349"/>
      <c r="J5" s="349"/>
      <c r="K5" s="349" t="s">
        <v>742</v>
      </c>
      <c r="L5" s="349"/>
      <c r="M5" s="349"/>
      <c r="N5" s="349"/>
      <c r="O5" s="349"/>
      <c r="P5" s="349"/>
      <c r="Q5" s="56"/>
      <c r="R5" s="56"/>
      <c r="S5" s="56"/>
      <c r="T5" s="56"/>
    </row>
    <row r="6" spans="1:20" ht="106" customHeight="1" thickBot="1">
      <c r="A6" s="15" t="s">
        <v>587</v>
      </c>
      <c r="B6" s="143" t="s">
        <v>743</v>
      </c>
      <c r="C6" s="143" t="s">
        <v>770</v>
      </c>
      <c r="D6" s="143" t="s">
        <v>1021</v>
      </c>
      <c r="E6" s="143" t="s">
        <v>1014</v>
      </c>
      <c r="F6" s="143" t="s">
        <v>1016</v>
      </c>
      <c r="G6" s="143" t="s">
        <v>745</v>
      </c>
      <c r="H6" s="143" t="s">
        <v>1012</v>
      </c>
      <c r="I6" s="143" t="s">
        <v>747</v>
      </c>
      <c r="J6" s="143" t="s">
        <v>748</v>
      </c>
      <c r="K6" s="143" t="s">
        <v>1014</v>
      </c>
      <c r="L6" s="143" t="s">
        <v>1016</v>
      </c>
      <c r="M6" s="143" t="s">
        <v>745</v>
      </c>
      <c r="N6" s="143" t="s">
        <v>1012</v>
      </c>
      <c r="O6" s="143" t="s">
        <v>747</v>
      </c>
      <c r="P6" s="143" t="s">
        <v>748</v>
      </c>
      <c r="Q6" s="38" t="s">
        <v>1013</v>
      </c>
      <c r="R6" s="38" t="s">
        <v>1022</v>
      </c>
      <c r="S6" s="38" t="s">
        <v>1023</v>
      </c>
      <c r="T6" s="38" t="s">
        <v>1024</v>
      </c>
    </row>
    <row r="7" spans="1:20" ht="17">
      <c r="A7" s="149"/>
      <c r="B7" s="143"/>
      <c r="C7" s="143" t="s">
        <v>591</v>
      </c>
      <c r="D7" s="143" t="s">
        <v>240</v>
      </c>
      <c r="E7" s="143" t="s">
        <v>749</v>
      </c>
      <c r="F7" s="143" t="s">
        <v>749</v>
      </c>
      <c r="G7" s="143" t="s">
        <v>749</v>
      </c>
      <c r="H7" s="143" t="s">
        <v>749</v>
      </c>
      <c r="I7" s="143" t="s">
        <v>749</v>
      </c>
      <c r="J7" s="143" t="s">
        <v>749</v>
      </c>
      <c r="K7" s="143" t="s">
        <v>750</v>
      </c>
      <c r="L7" s="143" t="s">
        <v>750</v>
      </c>
      <c r="M7" s="143" t="s">
        <v>750</v>
      </c>
      <c r="N7" s="143" t="s">
        <v>750</v>
      </c>
      <c r="O7" s="143" t="s">
        <v>750</v>
      </c>
      <c r="P7" s="143" t="s">
        <v>750</v>
      </c>
      <c r="Q7" s="143" t="s">
        <v>750</v>
      </c>
      <c r="R7" s="143" t="s">
        <v>240</v>
      </c>
      <c r="S7" s="143" t="s">
        <v>751</v>
      </c>
      <c r="T7" s="143" t="s">
        <v>752</v>
      </c>
    </row>
    <row r="8" spans="1:20" ht="17">
      <c r="A8" s="186" t="s">
        <v>753</v>
      </c>
      <c r="B8" s="101"/>
      <c r="C8" s="101"/>
      <c r="D8" s="101"/>
      <c r="E8" s="101"/>
      <c r="F8" s="101"/>
      <c r="G8" s="101"/>
      <c r="H8" s="101"/>
      <c r="I8" s="101"/>
      <c r="J8" s="101"/>
      <c r="K8" s="101"/>
      <c r="L8" s="101"/>
      <c r="M8" s="101"/>
      <c r="N8" s="101"/>
      <c r="O8" s="101"/>
      <c r="P8" s="101"/>
      <c r="Q8" s="101"/>
      <c r="R8" s="101"/>
      <c r="S8" s="101"/>
      <c r="T8" s="5"/>
    </row>
    <row r="9" spans="1:20" ht="17">
      <c r="A9" s="9" t="s">
        <v>593</v>
      </c>
      <c r="B9" s="8"/>
      <c r="C9" s="8"/>
      <c r="D9" s="8"/>
      <c r="E9" s="8"/>
      <c r="F9" s="8"/>
      <c r="G9" s="8"/>
      <c r="H9" s="8"/>
      <c r="I9" s="8"/>
      <c r="J9" s="8"/>
      <c r="K9" s="8"/>
      <c r="L9" s="8"/>
      <c r="M9" s="8"/>
      <c r="N9" s="8"/>
      <c r="O9" s="8"/>
      <c r="P9" s="8"/>
      <c r="Q9" s="8"/>
      <c r="R9" s="8"/>
      <c r="S9" s="8"/>
      <c r="T9" s="8"/>
    </row>
    <row r="10" spans="1:20" ht="16" customHeight="1">
      <c r="A10" s="7" t="s">
        <v>771</v>
      </c>
      <c r="B10" s="8"/>
      <c r="C10" s="80">
        <v>0</v>
      </c>
      <c r="D10" s="232">
        <v>0</v>
      </c>
      <c r="E10" s="104" t="s">
        <v>755</v>
      </c>
      <c r="F10" s="104" t="s">
        <v>755</v>
      </c>
      <c r="G10" s="104" t="s">
        <v>755</v>
      </c>
      <c r="H10" s="104" t="s">
        <v>755</v>
      </c>
      <c r="I10" s="104" t="s">
        <v>755</v>
      </c>
      <c r="J10" s="104" t="s">
        <v>755</v>
      </c>
      <c r="K10" s="8"/>
      <c r="L10" s="8"/>
      <c r="M10" s="8"/>
      <c r="N10" s="8"/>
      <c r="O10" s="8"/>
      <c r="P10" s="8"/>
      <c r="Q10" s="8"/>
      <c r="R10" s="232">
        <v>0</v>
      </c>
      <c r="S10" s="257"/>
      <c r="T10" s="257"/>
    </row>
    <row r="11" spans="1:20" ht="17">
      <c r="A11" s="81" t="s">
        <v>756</v>
      </c>
      <c r="B11" s="8"/>
      <c r="C11" s="80">
        <v>0</v>
      </c>
      <c r="D11" s="232">
        <v>0</v>
      </c>
      <c r="E11" s="104" t="s">
        <v>755</v>
      </c>
      <c r="F11" s="104" t="s">
        <v>755</v>
      </c>
      <c r="G11" s="104" t="s">
        <v>755</v>
      </c>
      <c r="H11" s="104" t="s">
        <v>755</v>
      </c>
      <c r="I11" s="104" t="s">
        <v>755</v>
      </c>
      <c r="J11" s="104" t="s">
        <v>755</v>
      </c>
      <c r="K11" s="8"/>
      <c r="L11" s="8"/>
      <c r="M11" s="8"/>
      <c r="N11" s="8"/>
      <c r="O11" s="8"/>
      <c r="P11" s="8"/>
      <c r="Q11" s="8"/>
      <c r="R11" s="232">
        <v>0</v>
      </c>
      <c r="S11" s="8" t="s">
        <v>751</v>
      </c>
      <c r="T11" s="257"/>
    </row>
    <row r="12" spans="1:20" ht="17">
      <c r="A12" s="81" t="s">
        <v>757</v>
      </c>
      <c r="B12" s="8"/>
      <c r="C12" s="80">
        <v>0</v>
      </c>
      <c r="D12" s="232">
        <v>0</v>
      </c>
      <c r="E12" s="104" t="s">
        <v>755</v>
      </c>
      <c r="F12" s="257"/>
      <c r="G12" s="257"/>
      <c r="H12" s="257"/>
      <c r="I12" s="257"/>
      <c r="J12" s="257"/>
      <c r="K12" s="8"/>
      <c r="L12" s="8"/>
      <c r="M12" s="8"/>
      <c r="N12" s="8"/>
      <c r="O12" s="8"/>
      <c r="P12" s="8"/>
      <c r="Q12" s="8"/>
      <c r="R12" s="232">
        <v>0</v>
      </c>
      <c r="S12" s="257"/>
      <c r="T12" s="8" t="s">
        <v>752</v>
      </c>
    </row>
    <row r="13" spans="1:20" ht="34">
      <c r="A13" s="9" t="s">
        <v>595</v>
      </c>
      <c r="B13" s="8"/>
      <c r="C13" s="8"/>
      <c r="D13" s="232"/>
      <c r="E13" s="8"/>
      <c r="F13" s="8"/>
      <c r="G13" s="8"/>
      <c r="H13" s="8"/>
      <c r="I13" s="8"/>
      <c r="J13" s="8"/>
      <c r="K13" s="8"/>
      <c r="L13" s="8"/>
      <c r="M13" s="8"/>
      <c r="N13" s="8"/>
      <c r="O13" s="8"/>
      <c r="P13" s="8"/>
      <c r="Q13" s="8"/>
      <c r="R13" s="232"/>
      <c r="S13" s="8"/>
      <c r="T13" s="8"/>
    </row>
    <row r="14" spans="1:20" ht="34">
      <c r="A14" s="7" t="s">
        <v>772</v>
      </c>
      <c r="B14" s="8"/>
      <c r="C14" s="80">
        <v>0</v>
      </c>
      <c r="D14" s="232">
        <v>0</v>
      </c>
      <c r="E14" s="104" t="s">
        <v>755</v>
      </c>
      <c r="F14" s="104" t="s">
        <v>755</v>
      </c>
      <c r="G14" s="104" t="s">
        <v>755</v>
      </c>
      <c r="H14" s="104" t="s">
        <v>755</v>
      </c>
      <c r="I14" s="104" t="s">
        <v>755</v>
      </c>
      <c r="J14" s="104" t="s">
        <v>755</v>
      </c>
      <c r="K14" s="257"/>
      <c r="L14" s="257"/>
      <c r="M14" s="257"/>
      <c r="N14" s="257"/>
      <c r="O14" s="257"/>
      <c r="P14" s="257"/>
      <c r="Q14" s="257"/>
      <c r="R14" s="232">
        <v>0</v>
      </c>
      <c r="S14" s="257"/>
      <c r="T14" s="257"/>
    </row>
    <row r="15" spans="1:20" ht="17">
      <c r="A15" s="168" t="s">
        <v>773</v>
      </c>
      <c r="B15" s="103"/>
      <c r="C15" s="132">
        <v>0</v>
      </c>
      <c r="D15" s="269">
        <v>0</v>
      </c>
      <c r="E15" s="104" t="s">
        <v>755</v>
      </c>
      <c r="F15" s="104" t="s">
        <v>755</v>
      </c>
      <c r="G15" s="104" t="s">
        <v>755</v>
      </c>
      <c r="H15" s="104" t="s">
        <v>755</v>
      </c>
      <c r="I15" s="104" t="s">
        <v>755</v>
      </c>
      <c r="J15" s="104" t="s">
        <v>755</v>
      </c>
      <c r="K15" s="257"/>
      <c r="L15" s="257"/>
      <c r="M15" s="257"/>
      <c r="N15" s="257"/>
      <c r="O15" s="257"/>
      <c r="P15" s="257"/>
      <c r="Q15" s="257"/>
      <c r="R15" s="269">
        <v>0</v>
      </c>
      <c r="S15" s="257"/>
      <c r="T15" s="257"/>
    </row>
    <row r="16" spans="1:20" ht="17">
      <c r="A16" s="168" t="s">
        <v>760</v>
      </c>
      <c r="B16" s="103"/>
      <c r="C16" s="92"/>
      <c r="D16" s="278"/>
      <c r="E16" s="188"/>
      <c r="F16" s="188"/>
      <c r="G16" s="188"/>
      <c r="H16" s="188"/>
      <c r="I16" s="188"/>
      <c r="J16" s="188"/>
      <c r="K16" s="188"/>
      <c r="L16" s="188"/>
      <c r="M16" s="188"/>
      <c r="N16" s="188"/>
      <c r="O16" s="188"/>
      <c r="P16" s="188"/>
      <c r="Q16" s="188"/>
      <c r="R16" s="188"/>
      <c r="S16" s="188"/>
      <c r="T16" s="100"/>
    </row>
    <row r="17" spans="1:20" ht="17">
      <c r="A17" s="7" t="s">
        <v>774</v>
      </c>
      <c r="B17" s="8"/>
      <c r="C17" s="80">
        <v>248414</v>
      </c>
      <c r="D17" s="232" t="s">
        <v>1086</v>
      </c>
      <c r="E17" s="100"/>
      <c r="F17" s="100"/>
      <c r="G17" s="100"/>
      <c r="H17" s="100"/>
      <c r="I17" s="100"/>
      <c r="J17" s="100"/>
      <c r="K17" s="100"/>
      <c r="L17" s="100"/>
      <c r="M17" s="100"/>
      <c r="N17" s="100"/>
      <c r="O17" s="100"/>
      <c r="P17" s="100"/>
      <c r="Q17" s="100"/>
      <c r="R17" s="100"/>
      <c r="S17" s="100"/>
      <c r="T17" s="100"/>
    </row>
    <row r="18" spans="1:20" ht="17">
      <c r="A18" s="10" t="s">
        <v>724</v>
      </c>
      <c r="B18" s="57"/>
      <c r="C18" s="83">
        <v>248414</v>
      </c>
      <c r="D18" s="270" t="s">
        <v>1086</v>
      </c>
      <c r="E18" s="38"/>
      <c r="F18" s="38"/>
      <c r="G18" s="38"/>
      <c r="H18" s="38"/>
      <c r="I18" s="38"/>
      <c r="J18" s="38"/>
      <c r="K18" s="38"/>
      <c r="L18" s="38"/>
      <c r="M18" s="38"/>
      <c r="N18" s="38"/>
      <c r="O18" s="38"/>
      <c r="P18" s="38"/>
      <c r="Q18" s="38"/>
      <c r="R18" s="38"/>
      <c r="S18" s="38"/>
      <c r="T18" s="38"/>
    </row>
    <row r="19" spans="1:20" ht="16">
      <c r="A19" s="365"/>
      <c r="B19" s="365"/>
      <c r="C19" s="365"/>
      <c r="D19" s="365"/>
      <c r="E19" s="365"/>
      <c r="F19" s="365"/>
      <c r="G19" s="365"/>
      <c r="H19" s="365"/>
      <c r="I19" s="365"/>
      <c r="J19" s="365"/>
      <c r="K19" s="365"/>
      <c r="L19" s="365"/>
      <c r="M19" s="32"/>
      <c r="N19" s="32"/>
      <c r="O19" s="32"/>
      <c r="P19" s="32"/>
      <c r="Q19" s="32"/>
      <c r="R19" s="32"/>
      <c r="S19" s="32"/>
      <c r="T19" s="32"/>
    </row>
  </sheetData>
  <mergeCells count="7">
    <mergeCell ref="A2:K2"/>
    <mergeCell ref="K5:P5"/>
    <mergeCell ref="A19:L19"/>
    <mergeCell ref="B5:D5"/>
    <mergeCell ref="E5:J5"/>
    <mergeCell ref="A3:I3"/>
    <mergeCell ref="A4:T4"/>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C13"/>
  <sheetViews>
    <sheetView showRuler="0" workbookViewId="0">
      <selection activeCell="A2" sqref="A2:C2"/>
    </sheetView>
  </sheetViews>
  <sheetFormatPr baseColWidth="10" defaultColWidth="12.83203125" defaultRowHeight="13"/>
  <cols>
    <col min="1" max="1" width="62.1640625" customWidth="1"/>
    <col min="2" max="3" width="41.33203125" customWidth="1"/>
  </cols>
  <sheetData>
    <row r="1" spans="1:3" ht="14">
      <c r="A1" s="301" t="str">
        <f>HYPERLINK("#'Index'!A1","Back to index")</f>
        <v>Back to index</v>
      </c>
    </row>
    <row r="2" spans="1:3" ht="25.75" customHeight="1">
      <c r="A2" s="315" t="s">
        <v>63</v>
      </c>
      <c r="B2" s="316"/>
      <c r="C2" s="316"/>
    </row>
    <row r="3" spans="1:3" ht="22.5" customHeight="1">
      <c r="A3" s="317" t="s">
        <v>47</v>
      </c>
      <c r="B3" s="316"/>
      <c r="C3" s="316"/>
    </row>
    <row r="4" spans="1:3">
      <c r="A4" s="338"/>
      <c r="B4" s="338"/>
      <c r="C4" s="338"/>
    </row>
    <row r="5" spans="1:3" ht="19.25" customHeight="1">
      <c r="A5" s="56"/>
      <c r="B5" s="395" t="s">
        <v>47</v>
      </c>
      <c r="C5" s="395"/>
    </row>
    <row r="6" spans="1:3" ht="17">
      <c r="A6" s="15"/>
      <c r="B6" s="143" t="s">
        <v>762</v>
      </c>
      <c r="C6" s="143" t="s">
        <v>763</v>
      </c>
    </row>
    <row r="7" spans="1:3" ht="17">
      <c r="A7" s="272" t="s">
        <v>764</v>
      </c>
      <c r="B7" s="273">
        <v>0</v>
      </c>
      <c r="C7" s="273">
        <v>0</v>
      </c>
    </row>
    <row r="8" spans="1:3" ht="17">
      <c r="A8" s="274" t="s">
        <v>765</v>
      </c>
      <c r="B8" s="275">
        <v>0</v>
      </c>
      <c r="C8" s="275">
        <v>0</v>
      </c>
    </row>
    <row r="9" spans="1:3" ht="17">
      <c r="A9" s="274" t="s">
        <v>766</v>
      </c>
      <c r="B9" s="275">
        <v>0</v>
      </c>
      <c r="C9" s="275">
        <v>0</v>
      </c>
    </row>
    <row r="10" spans="1:3" ht="17">
      <c r="A10" s="274" t="s">
        <v>767</v>
      </c>
      <c r="B10" s="275">
        <v>0</v>
      </c>
      <c r="C10" s="275">
        <v>0</v>
      </c>
    </row>
    <row r="11" spans="1:3" ht="17">
      <c r="A11" s="274" t="s">
        <v>768</v>
      </c>
      <c r="B11" s="275">
        <v>0</v>
      </c>
      <c r="C11" s="275">
        <v>0</v>
      </c>
    </row>
    <row r="12" spans="1:3" ht="17">
      <c r="A12" s="276" t="s">
        <v>769</v>
      </c>
      <c r="B12" s="277">
        <v>0</v>
      </c>
      <c r="C12" s="277">
        <v>0</v>
      </c>
    </row>
    <row r="13" spans="1:3" ht="16">
      <c r="A13" s="42"/>
      <c r="B13" s="42"/>
      <c r="C13" s="42"/>
    </row>
  </sheetData>
  <mergeCells count="4">
    <mergeCell ref="A2:C2"/>
    <mergeCell ref="A3:C3"/>
    <mergeCell ref="B5:C5"/>
    <mergeCell ref="A4:C4"/>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X32"/>
  <sheetViews>
    <sheetView showRuler="0" workbookViewId="0">
      <selection activeCell="A2" sqref="A2:I2"/>
    </sheetView>
  </sheetViews>
  <sheetFormatPr baseColWidth="10" defaultColWidth="12.83203125" defaultRowHeight="13"/>
  <cols>
    <col min="1" max="1" width="48.5" customWidth="1"/>
    <col min="2" max="20" width="16.83203125" customWidth="1"/>
  </cols>
  <sheetData>
    <row r="1" spans="1:20" ht="14">
      <c r="A1" s="301" t="str">
        <f>HYPERLINK("#'Index'!A1","Back to index")</f>
        <v>Back to index</v>
      </c>
    </row>
    <row r="2" spans="1:20" ht="25.75" customHeight="1">
      <c r="A2" s="315" t="s">
        <v>63</v>
      </c>
      <c r="B2" s="316"/>
      <c r="C2" s="316"/>
      <c r="D2" s="316"/>
      <c r="E2" s="316"/>
      <c r="F2" s="316"/>
      <c r="G2" s="316"/>
      <c r="H2" s="316"/>
      <c r="I2" s="316"/>
    </row>
    <row r="3" spans="1:20" ht="22.5" customHeight="1">
      <c r="A3" s="317" t="s">
        <v>48</v>
      </c>
      <c r="B3" s="316"/>
      <c r="C3" s="316"/>
      <c r="D3" s="316"/>
      <c r="E3" s="316"/>
      <c r="F3" s="316"/>
      <c r="G3" s="316"/>
      <c r="H3" s="316"/>
      <c r="I3" s="316"/>
    </row>
    <row r="4" spans="1:20" ht="16" customHeight="1">
      <c r="A4" s="338"/>
      <c r="B4" s="338"/>
      <c r="C4" s="338"/>
      <c r="D4" s="338"/>
      <c r="E4" s="338"/>
      <c r="F4" s="338"/>
      <c r="G4" s="338"/>
      <c r="H4" s="338"/>
      <c r="I4" s="338"/>
      <c r="J4" s="338"/>
      <c r="K4" s="338"/>
      <c r="L4" s="338"/>
      <c r="M4" s="338"/>
      <c r="N4" s="338"/>
      <c r="O4" s="338"/>
      <c r="P4" s="338"/>
      <c r="Q4" s="338"/>
      <c r="R4" s="338"/>
      <c r="S4" s="338"/>
      <c r="T4" s="338"/>
    </row>
    <row r="5" spans="1:20" ht="19.25" customHeight="1" thickBot="1">
      <c r="A5" s="312" t="s">
        <v>270</v>
      </c>
      <c r="B5" s="349" t="s">
        <v>64</v>
      </c>
      <c r="C5" s="349"/>
      <c r="D5" s="349"/>
      <c r="E5" s="349" t="s">
        <v>741</v>
      </c>
      <c r="F5" s="349"/>
      <c r="G5" s="349"/>
      <c r="H5" s="349"/>
      <c r="I5" s="349"/>
      <c r="J5" s="349"/>
      <c r="K5" s="349" t="s">
        <v>742</v>
      </c>
      <c r="L5" s="349"/>
      <c r="M5" s="349"/>
      <c r="N5" s="349"/>
      <c r="O5" s="349"/>
      <c r="P5" s="349"/>
      <c r="Q5" s="56"/>
      <c r="R5" s="56"/>
      <c r="S5" s="56"/>
      <c r="T5" s="56"/>
    </row>
    <row r="6" spans="1:20" ht="106" customHeight="1" thickBot="1">
      <c r="A6" s="15" t="s">
        <v>587</v>
      </c>
      <c r="B6" s="143" t="s">
        <v>743</v>
      </c>
      <c r="C6" s="143" t="s">
        <v>775</v>
      </c>
      <c r="D6" s="143" t="s">
        <v>1025</v>
      </c>
      <c r="E6" s="143" t="s">
        <v>1014</v>
      </c>
      <c r="F6" s="143" t="s">
        <v>1016</v>
      </c>
      <c r="G6" s="143" t="s">
        <v>745</v>
      </c>
      <c r="H6" s="143" t="s">
        <v>1012</v>
      </c>
      <c r="I6" s="143" t="s">
        <v>747</v>
      </c>
      <c r="J6" s="143" t="s">
        <v>748</v>
      </c>
      <c r="K6" s="143" t="s">
        <v>1014</v>
      </c>
      <c r="L6" s="143" t="s">
        <v>1016</v>
      </c>
      <c r="M6" s="143" t="s">
        <v>745</v>
      </c>
      <c r="N6" s="143" t="s">
        <v>1012</v>
      </c>
      <c r="O6" s="143" t="s">
        <v>747</v>
      </c>
      <c r="P6" s="143" t="s">
        <v>748</v>
      </c>
      <c r="Q6" s="38" t="s">
        <v>1013</v>
      </c>
      <c r="R6" s="38" t="s">
        <v>1026</v>
      </c>
      <c r="S6" s="38" t="s">
        <v>1023</v>
      </c>
      <c r="T6" s="38" t="s">
        <v>1020</v>
      </c>
    </row>
    <row r="7" spans="1:20" ht="17">
      <c r="A7" s="149"/>
      <c r="B7" s="143"/>
      <c r="C7" s="143" t="s">
        <v>591</v>
      </c>
      <c r="D7" s="143" t="s">
        <v>240</v>
      </c>
      <c r="E7" s="143" t="s">
        <v>749</v>
      </c>
      <c r="F7" s="143" t="s">
        <v>749</v>
      </c>
      <c r="G7" s="143" t="s">
        <v>749</v>
      </c>
      <c r="H7" s="143" t="s">
        <v>749</v>
      </c>
      <c r="I7" s="143" t="s">
        <v>749</v>
      </c>
      <c r="J7" s="143" t="s">
        <v>749</v>
      </c>
      <c r="K7" s="143" t="s">
        <v>750</v>
      </c>
      <c r="L7" s="143" t="s">
        <v>750</v>
      </c>
      <c r="M7" s="143" t="s">
        <v>750</v>
      </c>
      <c r="N7" s="143" t="s">
        <v>750</v>
      </c>
      <c r="O7" s="143" t="s">
        <v>750</v>
      </c>
      <c r="P7" s="143" t="s">
        <v>750</v>
      </c>
      <c r="Q7" s="143" t="s">
        <v>750</v>
      </c>
      <c r="R7" s="143" t="s">
        <v>240</v>
      </c>
      <c r="S7" s="143" t="s">
        <v>751</v>
      </c>
      <c r="T7" s="143" t="s">
        <v>752</v>
      </c>
    </row>
    <row r="8" spans="1:20" ht="17">
      <c r="A8" s="186" t="s">
        <v>753</v>
      </c>
      <c r="B8" s="101"/>
      <c r="C8" s="101"/>
      <c r="D8" s="101"/>
      <c r="E8" s="101"/>
      <c r="F8" s="101"/>
      <c r="G8" s="101"/>
      <c r="H8" s="101"/>
      <c r="I8" s="101"/>
      <c r="J8" s="101"/>
      <c r="K8" s="101"/>
      <c r="L8" s="101"/>
      <c r="M8" s="101"/>
      <c r="N8" s="101"/>
      <c r="O8" s="101"/>
      <c r="P8" s="101"/>
      <c r="Q8" s="101"/>
      <c r="R8" s="101"/>
      <c r="S8" s="101"/>
      <c r="T8" s="5"/>
    </row>
    <row r="9" spans="1:20" ht="34">
      <c r="A9" s="9" t="s">
        <v>593</v>
      </c>
      <c r="B9" s="103"/>
      <c r="C9" s="103"/>
      <c r="D9" s="269"/>
      <c r="E9" s="103"/>
      <c r="F9" s="103"/>
      <c r="G9" s="103"/>
      <c r="H9" s="103"/>
      <c r="I9" s="103"/>
      <c r="J9" s="103"/>
      <c r="K9" s="103"/>
      <c r="L9" s="103"/>
      <c r="M9" s="103"/>
      <c r="N9" s="103"/>
      <c r="O9" s="103"/>
      <c r="P9" s="103"/>
      <c r="Q9" s="103"/>
      <c r="R9" s="269"/>
      <c r="S9" s="103"/>
      <c r="T9" s="103"/>
    </row>
    <row r="10" spans="1:20" ht="34">
      <c r="A10" s="7" t="s">
        <v>776</v>
      </c>
      <c r="B10" s="8" t="s">
        <v>777</v>
      </c>
      <c r="C10" s="80">
        <v>139</v>
      </c>
      <c r="D10" s="232">
        <v>0</v>
      </c>
      <c r="E10" s="8" t="s">
        <v>778</v>
      </c>
      <c r="F10" s="8" t="s">
        <v>779</v>
      </c>
      <c r="G10" s="8" t="s">
        <v>779</v>
      </c>
      <c r="H10" s="8" t="s">
        <v>779</v>
      </c>
      <c r="I10" s="8" t="s">
        <v>779</v>
      </c>
      <c r="J10" s="8" t="s">
        <v>779</v>
      </c>
      <c r="K10" s="8" t="s">
        <v>778</v>
      </c>
      <c r="L10" s="8" t="s">
        <v>778</v>
      </c>
      <c r="M10" s="8" t="s">
        <v>778</v>
      </c>
      <c r="N10" s="8" t="s">
        <v>778</v>
      </c>
      <c r="O10" s="8" t="s">
        <v>778</v>
      </c>
      <c r="P10" s="8" t="s">
        <v>778</v>
      </c>
      <c r="Q10" s="8" t="s">
        <v>778</v>
      </c>
      <c r="R10" s="232">
        <v>0</v>
      </c>
      <c r="S10" s="8" t="s">
        <v>751</v>
      </c>
      <c r="T10" s="8"/>
    </row>
    <row r="11" spans="1:20" ht="34">
      <c r="A11" s="7" t="s">
        <v>780</v>
      </c>
      <c r="B11" s="8" t="s">
        <v>781</v>
      </c>
      <c r="C11" s="80">
        <v>7898</v>
      </c>
      <c r="D11" s="232" t="s">
        <v>1089</v>
      </c>
      <c r="E11" s="8" t="s">
        <v>778</v>
      </c>
      <c r="F11" s="8" t="s">
        <v>779</v>
      </c>
      <c r="G11" s="8" t="s">
        <v>779</v>
      </c>
      <c r="H11" s="8" t="s">
        <v>779</v>
      </c>
      <c r="I11" s="8" t="s">
        <v>779</v>
      </c>
      <c r="J11" s="8" t="s">
        <v>779</v>
      </c>
      <c r="K11" s="8" t="s">
        <v>778</v>
      </c>
      <c r="L11" s="8" t="s">
        <v>778</v>
      </c>
      <c r="M11" s="8" t="s">
        <v>778</v>
      </c>
      <c r="N11" s="8" t="s">
        <v>778</v>
      </c>
      <c r="O11" s="8" t="s">
        <v>778</v>
      </c>
      <c r="P11" s="8" t="s">
        <v>778</v>
      </c>
      <c r="Q11" s="8" t="s">
        <v>778</v>
      </c>
      <c r="R11" s="232" t="s">
        <v>1089</v>
      </c>
      <c r="S11" s="8" t="s">
        <v>751</v>
      </c>
      <c r="T11" s="8"/>
    </row>
    <row r="12" spans="1:20" ht="34">
      <c r="A12" s="7" t="s">
        <v>782</v>
      </c>
      <c r="B12" s="8"/>
      <c r="C12" s="80">
        <v>8037</v>
      </c>
      <c r="D12" s="232" t="s">
        <v>1089</v>
      </c>
      <c r="E12" s="80">
        <v>1</v>
      </c>
      <c r="F12" s="104" t="s">
        <v>755</v>
      </c>
      <c r="G12" s="104" t="s">
        <v>755</v>
      </c>
      <c r="H12" s="104" t="s">
        <v>755</v>
      </c>
      <c r="I12" s="104" t="s">
        <v>755</v>
      </c>
      <c r="J12" s="104" t="s">
        <v>755</v>
      </c>
      <c r="K12" s="8" t="s">
        <v>778</v>
      </c>
      <c r="L12" s="8" t="s">
        <v>778</v>
      </c>
      <c r="M12" s="8" t="s">
        <v>778</v>
      </c>
      <c r="N12" s="8" t="s">
        <v>778</v>
      </c>
      <c r="O12" s="8" t="s">
        <v>778</v>
      </c>
      <c r="P12" s="8" t="s">
        <v>778</v>
      </c>
      <c r="Q12" s="8" t="s">
        <v>778</v>
      </c>
      <c r="R12" s="232" t="s">
        <v>1089</v>
      </c>
      <c r="S12" s="257"/>
      <c r="T12" s="257"/>
    </row>
    <row r="13" spans="1:20" ht="17">
      <c r="A13" s="189" t="s">
        <v>756</v>
      </c>
      <c r="B13" s="8"/>
      <c r="C13" s="80">
        <v>8037</v>
      </c>
      <c r="D13" s="232" t="s">
        <v>1089</v>
      </c>
      <c r="E13" s="80">
        <v>1</v>
      </c>
      <c r="F13" s="104" t="s">
        <v>755</v>
      </c>
      <c r="G13" s="104" t="s">
        <v>755</v>
      </c>
      <c r="H13" s="104" t="s">
        <v>755</v>
      </c>
      <c r="I13" s="104" t="s">
        <v>755</v>
      </c>
      <c r="J13" s="104" t="s">
        <v>755</v>
      </c>
      <c r="K13" s="8"/>
      <c r="L13" s="8"/>
      <c r="M13" s="8"/>
      <c r="N13" s="8"/>
      <c r="O13" s="8"/>
      <c r="P13" s="8"/>
      <c r="Q13" s="8"/>
      <c r="R13" s="232" t="s">
        <v>1089</v>
      </c>
      <c r="S13" s="8" t="s">
        <v>751</v>
      </c>
      <c r="T13" s="8"/>
    </row>
    <row r="14" spans="1:20" ht="17">
      <c r="A14" s="189" t="s">
        <v>757</v>
      </c>
      <c r="B14" s="8"/>
      <c r="C14" s="80">
        <v>0</v>
      </c>
      <c r="D14" s="232">
        <v>0</v>
      </c>
      <c r="E14" s="80">
        <v>0</v>
      </c>
      <c r="F14" s="257"/>
      <c r="G14" s="257"/>
      <c r="H14" s="257"/>
      <c r="I14" s="257"/>
      <c r="J14" s="257"/>
      <c r="K14" s="8"/>
      <c r="L14" s="8"/>
      <c r="M14" s="8"/>
      <c r="N14" s="8"/>
      <c r="O14" s="8"/>
      <c r="P14" s="8"/>
      <c r="Q14" s="8"/>
      <c r="R14" s="232">
        <v>0</v>
      </c>
      <c r="S14" s="8"/>
      <c r="T14" s="8" t="s">
        <v>752</v>
      </c>
    </row>
    <row r="15" spans="1:20" ht="51">
      <c r="A15" s="9" t="s">
        <v>595</v>
      </c>
      <c r="B15" s="8"/>
      <c r="C15" s="8"/>
      <c r="D15" s="232"/>
      <c r="E15" s="8"/>
      <c r="F15" s="8"/>
      <c r="G15" s="8"/>
      <c r="H15" s="8"/>
      <c r="I15" s="8"/>
      <c r="J15" s="8"/>
      <c r="K15" s="8"/>
      <c r="L15" s="8"/>
      <c r="M15" s="8"/>
      <c r="N15" s="8"/>
      <c r="O15" s="8"/>
      <c r="P15" s="8"/>
      <c r="Q15" s="8"/>
      <c r="R15" s="232"/>
      <c r="S15" s="8"/>
      <c r="T15" s="8"/>
    </row>
    <row r="16" spans="1:20" ht="34">
      <c r="A16" s="7" t="s">
        <v>783</v>
      </c>
      <c r="B16" s="8" t="s">
        <v>784</v>
      </c>
      <c r="C16" s="80">
        <v>74</v>
      </c>
      <c r="D16" s="232">
        <v>0</v>
      </c>
      <c r="E16" s="8" t="s">
        <v>785</v>
      </c>
      <c r="F16" s="8" t="s">
        <v>779</v>
      </c>
      <c r="G16" s="8" t="s">
        <v>779</v>
      </c>
      <c r="H16" s="8" t="s">
        <v>779</v>
      </c>
      <c r="I16" s="8" t="s">
        <v>779</v>
      </c>
      <c r="J16" s="8" t="s">
        <v>779</v>
      </c>
      <c r="K16" s="257"/>
      <c r="L16" s="257"/>
      <c r="M16" s="257"/>
      <c r="N16" s="257"/>
      <c r="O16" s="257"/>
      <c r="P16" s="257"/>
      <c r="Q16" s="257"/>
      <c r="R16" s="232">
        <v>0</v>
      </c>
      <c r="S16" s="8"/>
      <c r="T16" s="8"/>
    </row>
    <row r="17" spans="1:24" ht="20" customHeight="1">
      <c r="A17" s="7" t="s">
        <v>786</v>
      </c>
      <c r="B17" s="8" t="s">
        <v>787</v>
      </c>
      <c r="C17" s="80">
        <v>134698</v>
      </c>
      <c r="D17" s="232" t="s">
        <v>1090</v>
      </c>
      <c r="E17" s="8"/>
      <c r="F17" s="8"/>
      <c r="G17" s="8"/>
      <c r="H17" s="8"/>
      <c r="I17" s="8"/>
      <c r="J17" s="8"/>
      <c r="K17" s="257"/>
      <c r="L17" s="257"/>
      <c r="M17" s="257"/>
      <c r="N17" s="257"/>
      <c r="O17" s="257"/>
      <c r="P17" s="257"/>
      <c r="Q17" s="257"/>
      <c r="R17" s="232">
        <v>0</v>
      </c>
      <c r="S17" s="8"/>
      <c r="T17" s="8"/>
    </row>
    <row r="18" spans="1:24" ht="34">
      <c r="A18" s="7" t="s">
        <v>776</v>
      </c>
      <c r="B18" s="8" t="s">
        <v>777</v>
      </c>
      <c r="C18" s="80">
        <v>1239</v>
      </c>
      <c r="D18" s="232">
        <v>0</v>
      </c>
      <c r="E18" s="8" t="s">
        <v>785</v>
      </c>
      <c r="F18" s="8" t="s">
        <v>779</v>
      </c>
      <c r="G18" s="8" t="s">
        <v>779</v>
      </c>
      <c r="H18" s="8" t="s">
        <v>779</v>
      </c>
      <c r="I18" s="8" t="s">
        <v>779</v>
      </c>
      <c r="J18" s="8" t="s">
        <v>779</v>
      </c>
      <c r="K18" s="257"/>
      <c r="L18" s="257"/>
      <c r="M18" s="257"/>
      <c r="N18" s="257"/>
      <c r="O18" s="257"/>
      <c r="P18" s="257"/>
      <c r="Q18" s="257"/>
      <c r="R18" s="232">
        <v>0</v>
      </c>
      <c r="S18" s="8"/>
      <c r="T18" s="8"/>
    </row>
    <row r="19" spans="1:24" ht="51">
      <c r="A19" s="7" t="s">
        <v>788</v>
      </c>
      <c r="B19" s="8" t="s">
        <v>789</v>
      </c>
      <c r="C19" s="80">
        <v>509</v>
      </c>
      <c r="D19" s="232">
        <v>0</v>
      </c>
      <c r="E19" s="8"/>
      <c r="F19" s="8"/>
      <c r="G19" s="8"/>
      <c r="H19" s="8"/>
      <c r="I19" s="8"/>
      <c r="J19" s="8"/>
      <c r="K19" s="257"/>
      <c r="L19" s="257"/>
      <c r="M19" s="257"/>
      <c r="N19" s="257"/>
      <c r="O19" s="257"/>
      <c r="P19" s="257"/>
      <c r="Q19" s="257"/>
      <c r="R19" s="232">
        <v>0</v>
      </c>
      <c r="S19" s="8"/>
      <c r="T19" s="8"/>
    </row>
    <row r="20" spans="1:24" ht="34">
      <c r="A20" s="7" t="s">
        <v>780</v>
      </c>
      <c r="B20" s="8" t="s">
        <v>781</v>
      </c>
      <c r="C20" s="80">
        <v>41</v>
      </c>
      <c r="D20" s="232">
        <v>0</v>
      </c>
      <c r="E20" s="8"/>
      <c r="F20" s="8"/>
      <c r="G20" s="8"/>
      <c r="H20" s="8"/>
      <c r="I20" s="8"/>
      <c r="J20" s="8"/>
      <c r="K20" s="8"/>
      <c r="L20" s="8"/>
      <c r="M20" s="8"/>
      <c r="N20" s="8"/>
      <c r="O20" s="8"/>
      <c r="P20" s="8"/>
      <c r="Q20" s="8"/>
      <c r="R20" s="232">
        <v>0</v>
      </c>
      <c r="S20" s="8"/>
      <c r="T20" s="8"/>
    </row>
    <row r="21" spans="1:24" ht="22" customHeight="1">
      <c r="A21" s="7" t="s">
        <v>1088</v>
      </c>
      <c r="B21" s="8" t="s">
        <v>790</v>
      </c>
      <c r="C21" s="80">
        <v>454</v>
      </c>
      <c r="D21" s="232">
        <v>0</v>
      </c>
      <c r="E21" s="8"/>
      <c r="F21" s="8"/>
      <c r="G21" s="8"/>
      <c r="H21" s="8"/>
      <c r="I21" s="8"/>
      <c r="J21" s="8"/>
      <c r="K21" s="8"/>
      <c r="L21" s="8"/>
      <c r="M21" s="8"/>
      <c r="N21" s="8"/>
      <c r="O21" s="8"/>
      <c r="P21" s="8"/>
      <c r="Q21" s="8"/>
      <c r="R21" s="232">
        <v>0</v>
      </c>
      <c r="S21" s="8"/>
      <c r="T21" s="8"/>
    </row>
    <row r="22" spans="1:24" ht="51">
      <c r="A22" s="7" t="s">
        <v>791</v>
      </c>
      <c r="B22" s="8"/>
      <c r="C22" s="80">
        <v>137015</v>
      </c>
      <c r="D22" s="232" t="s">
        <v>1091</v>
      </c>
      <c r="E22" s="80">
        <v>18</v>
      </c>
      <c r="F22" s="104" t="s">
        <v>755</v>
      </c>
      <c r="G22" s="104" t="s">
        <v>755</v>
      </c>
      <c r="H22" s="104" t="s">
        <v>755</v>
      </c>
      <c r="I22" s="104" t="s">
        <v>755</v>
      </c>
      <c r="J22" s="104" t="s">
        <v>755</v>
      </c>
      <c r="K22" s="257"/>
      <c r="L22" s="257"/>
      <c r="M22" s="257"/>
      <c r="N22" s="257"/>
      <c r="O22" s="257"/>
      <c r="P22" s="257"/>
      <c r="Q22" s="257"/>
      <c r="R22" s="232">
        <v>0</v>
      </c>
      <c r="S22" s="257"/>
      <c r="T22" s="257"/>
    </row>
    <row r="23" spans="1:24" ht="22" customHeight="1">
      <c r="A23" s="168" t="s">
        <v>792</v>
      </c>
      <c r="B23" s="103"/>
      <c r="C23" s="132">
        <v>145052</v>
      </c>
      <c r="D23" s="269" t="s">
        <v>1092</v>
      </c>
      <c r="E23" s="80">
        <v>19</v>
      </c>
      <c r="F23" s="104" t="s">
        <v>755</v>
      </c>
      <c r="G23" s="104" t="s">
        <v>755</v>
      </c>
      <c r="H23" s="104" t="s">
        <v>755</v>
      </c>
      <c r="I23" s="104" t="s">
        <v>755</v>
      </c>
      <c r="J23" s="104" t="s">
        <v>755</v>
      </c>
      <c r="K23" s="271"/>
      <c r="L23" s="271"/>
      <c r="M23" s="271"/>
      <c r="N23" s="271"/>
      <c r="O23" s="271"/>
      <c r="P23" s="271"/>
      <c r="Q23" s="271"/>
      <c r="R23" s="269" t="s">
        <v>1094</v>
      </c>
      <c r="S23" s="271"/>
      <c r="T23" s="271"/>
    </row>
    <row r="24" spans="1:24" ht="17">
      <c r="A24" s="313" t="s">
        <v>760</v>
      </c>
      <c r="B24" s="103"/>
      <c r="C24" s="103"/>
      <c r="D24" s="269"/>
      <c r="E24" s="187"/>
      <c r="F24" s="187"/>
      <c r="G24" s="187"/>
      <c r="H24" s="187"/>
      <c r="I24" s="187"/>
      <c r="J24" s="187"/>
      <c r="K24" s="187"/>
      <c r="L24" s="187"/>
      <c r="M24" s="187"/>
      <c r="N24" s="187"/>
      <c r="O24" s="187"/>
      <c r="P24" s="187"/>
      <c r="Q24" s="187"/>
      <c r="R24" s="187"/>
      <c r="S24" s="187"/>
      <c r="T24" s="187"/>
    </row>
    <row r="25" spans="1:24" ht="17">
      <c r="A25" s="7" t="s">
        <v>793</v>
      </c>
      <c r="B25" s="8"/>
      <c r="C25" s="80">
        <v>625542</v>
      </c>
      <c r="D25" s="232" t="s">
        <v>1093</v>
      </c>
      <c r="E25" s="100"/>
      <c r="F25" s="100"/>
      <c r="G25" s="100"/>
      <c r="H25" s="100"/>
      <c r="I25" s="100"/>
      <c r="J25" s="100"/>
      <c r="K25" s="100"/>
      <c r="L25" s="100"/>
      <c r="M25" s="100"/>
      <c r="N25" s="100"/>
      <c r="O25" s="100"/>
      <c r="P25" s="100"/>
      <c r="Q25" s="100"/>
      <c r="R25" s="100"/>
      <c r="S25" s="100"/>
      <c r="T25" s="100"/>
    </row>
    <row r="26" spans="1:24" ht="21" customHeight="1">
      <c r="A26" s="10" t="s">
        <v>724</v>
      </c>
      <c r="B26" s="84"/>
      <c r="C26" s="83">
        <v>770594</v>
      </c>
      <c r="D26" s="270" t="s">
        <v>1086</v>
      </c>
      <c r="E26" s="38"/>
      <c r="F26" s="38"/>
      <c r="G26" s="38"/>
      <c r="H26" s="38"/>
      <c r="I26" s="38"/>
      <c r="J26" s="38"/>
      <c r="K26" s="38"/>
      <c r="L26" s="38"/>
      <c r="M26" s="38"/>
      <c r="N26" s="38"/>
      <c r="O26" s="38"/>
      <c r="P26" s="38"/>
      <c r="Q26" s="38"/>
      <c r="R26" s="38"/>
      <c r="S26" s="38"/>
      <c r="T26" s="38"/>
    </row>
    <row r="27" spans="1:24" ht="15.75" customHeight="1">
      <c r="A27" s="387" t="s">
        <v>1087</v>
      </c>
      <c r="B27" s="387"/>
      <c r="C27" s="387"/>
      <c r="D27" s="387"/>
      <c r="E27" s="387"/>
      <c r="F27" s="387"/>
      <c r="G27" s="387"/>
      <c r="H27" s="387"/>
      <c r="I27" s="387"/>
      <c r="J27" s="387"/>
      <c r="K27" s="387"/>
      <c r="L27" s="387"/>
      <c r="M27" s="387"/>
      <c r="N27" s="387"/>
      <c r="O27" s="387"/>
      <c r="P27" s="387"/>
      <c r="Q27" s="387"/>
      <c r="R27" s="387"/>
      <c r="S27" s="387"/>
      <c r="T27" s="387"/>
      <c r="U27" s="190"/>
      <c r="V27" s="190"/>
      <c r="W27" s="190"/>
      <c r="X27" s="190"/>
    </row>
    <row r="28" spans="1:24" ht="16">
      <c r="A28" s="124"/>
    </row>
    <row r="32" spans="1:24" ht="23.25" customHeight="1">
      <c r="A32" s="316"/>
      <c r="B32" s="316"/>
      <c r="C32" s="316"/>
      <c r="D32" s="316"/>
      <c r="E32" s="316"/>
      <c r="F32" s="316"/>
      <c r="G32" s="316"/>
      <c r="H32" s="316"/>
      <c r="I32" s="316"/>
      <c r="J32" s="316"/>
      <c r="K32" s="316"/>
      <c r="L32" s="316"/>
    </row>
  </sheetData>
  <mergeCells count="8">
    <mergeCell ref="A3:I3"/>
    <mergeCell ref="A2:I2"/>
    <mergeCell ref="K5:P5"/>
    <mergeCell ref="A32:L32"/>
    <mergeCell ref="A27:T27"/>
    <mergeCell ref="B5:D5"/>
    <mergeCell ref="E5:J5"/>
    <mergeCell ref="A4:T4"/>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C13"/>
  <sheetViews>
    <sheetView showRuler="0" workbookViewId="0">
      <selection activeCell="A2" sqref="A2:C2"/>
    </sheetView>
  </sheetViews>
  <sheetFormatPr baseColWidth="10" defaultColWidth="12.83203125" defaultRowHeight="13"/>
  <cols>
    <col min="1" max="1" width="62.1640625" customWidth="1"/>
    <col min="2" max="3" width="41.33203125" customWidth="1"/>
  </cols>
  <sheetData>
    <row r="1" spans="1:3" ht="14">
      <c r="A1" s="301" t="str">
        <f>HYPERLINK("#'Index'!A1","Back to index")</f>
        <v>Back to index</v>
      </c>
    </row>
    <row r="2" spans="1:3" ht="25.75" customHeight="1">
      <c r="A2" s="315" t="s">
        <v>63</v>
      </c>
      <c r="B2" s="316"/>
      <c r="C2" s="316"/>
    </row>
    <row r="3" spans="1:3" ht="22.5" customHeight="1">
      <c r="A3" s="317" t="s">
        <v>49</v>
      </c>
      <c r="B3" s="316"/>
      <c r="C3" s="316"/>
    </row>
    <row r="4" spans="1:3">
      <c r="A4" s="338"/>
      <c r="B4" s="338"/>
      <c r="C4" s="338"/>
    </row>
    <row r="5" spans="1:3" ht="19.25" customHeight="1">
      <c r="A5" s="56"/>
      <c r="B5" s="395" t="s">
        <v>49</v>
      </c>
      <c r="C5" s="395"/>
    </row>
    <row r="6" spans="1:3" ht="17">
      <c r="A6" s="15"/>
      <c r="B6" s="143" t="s">
        <v>762</v>
      </c>
      <c r="C6" s="143" t="s">
        <v>763</v>
      </c>
    </row>
    <row r="7" spans="1:3" ht="17">
      <c r="A7" s="272" t="s">
        <v>764</v>
      </c>
      <c r="B7" s="273">
        <v>0.01</v>
      </c>
      <c r="C7" s="273">
        <v>0.17800000000000002</v>
      </c>
    </row>
    <row r="8" spans="1:3" ht="17">
      <c r="A8" s="274" t="s">
        <v>765</v>
      </c>
      <c r="B8" s="275">
        <v>0</v>
      </c>
      <c r="C8" s="275">
        <v>0</v>
      </c>
    </row>
    <row r="9" spans="1:3" ht="17">
      <c r="A9" s="274" t="s">
        <v>766</v>
      </c>
      <c r="B9" s="275">
        <v>0</v>
      </c>
      <c r="C9" s="275">
        <v>0</v>
      </c>
    </row>
    <row r="10" spans="1:3" ht="17">
      <c r="A10" s="274" t="s">
        <v>767</v>
      </c>
      <c r="B10" s="275">
        <v>0</v>
      </c>
      <c r="C10" s="275">
        <v>0</v>
      </c>
    </row>
    <row r="11" spans="1:3" ht="17">
      <c r="A11" s="274" t="s">
        <v>768</v>
      </c>
      <c r="B11" s="275">
        <v>0</v>
      </c>
      <c r="C11" s="275">
        <v>0</v>
      </c>
    </row>
    <row r="12" spans="1:3" ht="17">
      <c r="A12" s="276" t="s">
        <v>769</v>
      </c>
      <c r="B12" s="277">
        <v>0</v>
      </c>
      <c r="C12" s="277">
        <v>0</v>
      </c>
    </row>
    <row r="13" spans="1:3" ht="16">
      <c r="A13" s="42"/>
      <c r="B13" s="42"/>
      <c r="C13" s="42"/>
    </row>
  </sheetData>
  <mergeCells count="4">
    <mergeCell ref="A2:C2"/>
    <mergeCell ref="A3:C3"/>
    <mergeCell ref="B5:C5"/>
    <mergeCell ref="A4:C4"/>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F8"/>
  <sheetViews>
    <sheetView showRuler="0" workbookViewId="0">
      <selection activeCell="A2" sqref="A2:F2"/>
    </sheetView>
  </sheetViews>
  <sheetFormatPr baseColWidth="10" defaultColWidth="12.83203125" defaultRowHeight="13"/>
  <cols>
    <col min="1" max="1" width="42.83203125" customWidth="1"/>
    <col min="2" max="2" width="21.33203125" customWidth="1"/>
    <col min="3" max="6" width="16.83203125" customWidth="1"/>
  </cols>
  <sheetData>
    <row r="1" spans="1:6" ht="14">
      <c r="A1" s="301" t="str">
        <f>HYPERLINK("#'Index'!A1","Back to index")</f>
        <v>Back to index</v>
      </c>
    </row>
    <row r="2" spans="1:6" ht="25.75" customHeight="1">
      <c r="A2" s="315" t="s">
        <v>63</v>
      </c>
      <c r="B2" s="316"/>
      <c r="C2" s="316"/>
      <c r="D2" s="316"/>
      <c r="E2" s="316"/>
      <c r="F2" s="316"/>
    </row>
    <row r="3" spans="1:6" ht="22.5" customHeight="1">
      <c r="A3" s="317" t="s">
        <v>50</v>
      </c>
      <c r="B3" s="316"/>
      <c r="C3" s="316"/>
      <c r="D3" s="316"/>
      <c r="E3" s="316"/>
      <c r="F3" s="316"/>
    </row>
    <row r="4" spans="1:6">
      <c r="A4" s="338"/>
      <c r="B4" s="338"/>
      <c r="C4" s="338"/>
      <c r="D4" s="338"/>
      <c r="E4" s="338"/>
      <c r="F4" s="338"/>
    </row>
    <row r="5" spans="1:6" ht="17" thickBot="1">
      <c r="A5" s="124"/>
      <c r="B5" s="279"/>
      <c r="C5" s="349" t="s">
        <v>794</v>
      </c>
      <c r="D5" s="349"/>
      <c r="E5" s="349"/>
      <c r="F5" s="56"/>
    </row>
    <row r="6" spans="1:6" ht="52" thickBot="1">
      <c r="A6" s="15" t="s">
        <v>795</v>
      </c>
      <c r="B6" s="38" t="s">
        <v>796</v>
      </c>
      <c r="C6" s="38" t="s">
        <v>797</v>
      </c>
      <c r="D6" s="38" t="s">
        <v>798</v>
      </c>
      <c r="E6" s="38" t="s">
        <v>799</v>
      </c>
      <c r="F6" s="38" t="s">
        <v>800</v>
      </c>
    </row>
    <row r="7" spans="1:6" ht="17">
      <c r="A7" s="120" t="s">
        <v>801</v>
      </c>
      <c r="B7" s="129">
        <v>0</v>
      </c>
      <c r="C7" s="129">
        <v>0</v>
      </c>
      <c r="D7" s="129">
        <v>0</v>
      </c>
      <c r="E7" s="129">
        <v>0</v>
      </c>
      <c r="F7" s="129">
        <v>0</v>
      </c>
    </row>
    <row r="8" spans="1:6" ht="16" customHeight="1">
      <c r="A8" s="353" t="s">
        <v>1095</v>
      </c>
      <c r="B8" s="353"/>
      <c r="C8" s="353"/>
      <c r="D8" s="353"/>
      <c r="E8" s="353"/>
      <c r="F8" s="353"/>
    </row>
  </sheetData>
  <mergeCells count="5">
    <mergeCell ref="A2:F2"/>
    <mergeCell ref="A3:F3"/>
    <mergeCell ref="A8:F8"/>
    <mergeCell ref="C5:E5"/>
    <mergeCell ref="A4:F4"/>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E8"/>
  <sheetViews>
    <sheetView showRuler="0" workbookViewId="0">
      <selection activeCell="A2" sqref="A2:E2"/>
    </sheetView>
  </sheetViews>
  <sheetFormatPr baseColWidth="10" defaultColWidth="12.83203125" defaultRowHeight="13"/>
  <cols>
    <col min="1" max="1" width="42.83203125" customWidth="1"/>
    <col min="2" max="3" width="19.83203125" customWidth="1"/>
    <col min="4" max="4" width="19.1640625" customWidth="1"/>
    <col min="5" max="5" width="19.83203125" customWidth="1"/>
  </cols>
  <sheetData>
    <row r="1" spans="1:5" ht="14">
      <c r="A1" s="301" t="str">
        <f>HYPERLINK("#'Index'!A1","Back to index")</f>
        <v>Back to index</v>
      </c>
    </row>
    <row r="2" spans="1:5" ht="25.75" customHeight="1">
      <c r="A2" s="315" t="s">
        <v>63</v>
      </c>
      <c r="B2" s="316"/>
      <c r="C2" s="316"/>
      <c r="D2" s="316"/>
      <c r="E2" s="316"/>
    </row>
    <row r="3" spans="1:5" ht="22.5" customHeight="1">
      <c r="A3" s="317" t="s">
        <v>51</v>
      </c>
      <c r="B3" s="316"/>
      <c r="C3" s="316"/>
      <c r="D3" s="316"/>
      <c r="E3" s="316"/>
    </row>
    <row r="4" spans="1:5">
      <c r="A4" s="338"/>
      <c r="B4" s="338"/>
      <c r="C4" s="338"/>
      <c r="D4" s="338"/>
      <c r="E4" s="338"/>
    </row>
    <row r="5" spans="1:5" ht="17" thickBot="1">
      <c r="A5" s="124"/>
      <c r="B5" s="124"/>
      <c r="C5" s="349" t="s">
        <v>794</v>
      </c>
      <c r="D5" s="349"/>
      <c r="E5" s="349"/>
    </row>
    <row r="6" spans="1:5" ht="52" thickBot="1">
      <c r="A6" s="15" t="s">
        <v>795</v>
      </c>
      <c r="B6" s="38" t="s">
        <v>802</v>
      </c>
      <c r="C6" s="38" t="s">
        <v>803</v>
      </c>
      <c r="D6" s="38" t="s">
        <v>804</v>
      </c>
      <c r="E6" s="38" t="s">
        <v>805</v>
      </c>
    </row>
    <row r="7" spans="1:5" ht="18" thickBot="1">
      <c r="A7" s="120" t="s">
        <v>801</v>
      </c>
      <c r="B7" s="129">
        <v>0</v>
      </c>
      <c r="C7" s="129">
        <v>0</v>
      </c>
      <c r="D7" s="129">
        <v>0</v>
      </c>
      <c r="E7" s="129">
        <v>0</v>
      </c>
    </row>
    <row r="8" spans="1:5" ht="16" customHeight="1">
      <c r="A8" s="396" t="s">
        <v>1096</v>
      </c>
      <c r="B8" s="396"/>
      <c r="C8" s="396"/>
      <c r="D8" s="396"/>
      <c r="E8" s="396"/>
    </row>
  </sheetData>
  <mergeCells count="5">
    <mergeCell ref="A2:E2"/>
    <mergeCell ref="A3:E3"/>
    <mergeCell ref="A8:E8"/>
    <mergeCell ref="C5:E5"/>
    <mergeCell ref="A4:E4"/>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F10"/>
  <sheetViews>
    <sheetView showRuler="0" workbookViewId="0">
      <selection activeCell="A2" sqref="A2:F2"/>
    </sheetView>
  </sheetViews>
  <sheetFormatPr baseColWidth="10" defaultColWidth="12.83203125" defaultRowHeight="13"/>
  <cols>
    <col min="1" max="1" width="42.83203125" customWidth="1"/>
    <col min="2" max="2" width="16" customWidth="1"/>
    <col min="3" max="3" width="62.1640625" customWidth="1"/>
    <col min="4" max="4" width="41.33203125" customWidth="1"/>
    <col min="5" max="5" width="51.6640625" customWidth="1"/>
    <col min="6" max="6" width="16" customWidth="1"/>
  </cols>
  <sheetData>
    <row r="1" spans="1:6" ht="14">
      <c r="A1" s="301" t="str">
        <f>HYPERLINK("#'Index'!A1","Back to index")</f>
        <v>Back to index</v>
      </c>
    </row>
    <row r="2" spans="1:6" ht="25.75" customHeight="1">
      <c r="A2" s="315" t="s">
        <v>63</v>
      </c>
      <c r="B2" s="316"/>
      <c r="C2" s="316"/>
      <c r="D2" s="316"/>
      <c r="E2" s="316"/>
      <c r="F2" s="316"/>
    </row>
    <row r="3" spans="1:6" ht="22.5" customHeight="1">
      <c r="A3" s="317" t="s">
        <v>52</v>
      </c>
      <c r="B3" s="316"/>
      <c r="C3" s="316"/>
      <c r="D3" s="316"/>
      <c r="E3" s="316"/>
      <c r="F3" s="316"/>
    </row>
    <row r="4" spans="1:6">
      <c r="A4" s="338"/>
      <c r="B4" s="338"/>
      <c r="C4" s="338"/>
      <c r="D4" s="338"/>
      <c r="E4" s="338"/>
      <c r="F4" s="338"/>
    </row>
    <row r="5" spans="1:6" ht="17" thickBot="1">
      <c r="A5" s="124"/>
      <c r="B5" s="124"/>
      <c r="C5" s="349" t="s">
        <v>794</v>
      </c>
      <c r="D5" s="349"/>
      <c r="E5" s="349"/>
      <c r="F5" s="56"/>
    </row>
    <row r="6" spans="1:6" ht="103" thickBot="1">
      <c r="A6" s="15" t="s">
        <v>795</v>
      </c>
      <c r="B6" s="38" t="s">
        <v>775</v>
      </c>
      <c r="C6" s="38" t="s">
        <v>1097</v>
      </c>
      <c r="D6" s="38" t="s">
        <v>1098</v>
      </c>
      <c r="E6" s="38" t="s">
        <v>806</v>
      </c>
      <c r="F6" s="38" t="s">
        <v>807</v>
      </c>
    </row>
    <row r="7" spans="1:6" ht="17">
      <c r="A7" s="4" t="s">
        <v>801</v>
      </c>
      <c r="B7" s="5"/>
      <c r="C7" s="192"/>
      <c r="D7" s="193"/>
      <c r="E7" s="193"/>
      <c r="F7" s="193"/>
    </row>
    <row r="8" spans="1:6" ht="34">
      <c r="A8" s="7" t="s">
        <v>808</v>
      </c>
      <c r="B8" s="88">
        <v>139</v>
      </c>
      <c r="C8" s="88">
        <v>139</v>
      </c>
      <c r="D8" s="104" t="s">
        <v>755</v>
      </c>
      <c r="E8" s="104" t="s">
        <v>755</v>
      </c>
      <c r="F8" s="104" t="s">
        <v>755</v>
      </c>
    </row>
    <row r="9" spans="1:6" ht="51">
      <c r="A9" s="11" t="s">
        <v>809</v>
      </c>
      <c r="B9" s="94">
        <v>7898</v>
      </c>
      <c r="C9" s="94">
        <v>7898</v>
      </c>
      <c r="D9" s="106" t="s">
        <v>755</v>
      </c>
      <c r="E9" s="106" t="s">
        <v>755</v>
      </c>
      <c r="F9" s="106" t="s">
        <v>755</v>
      </c>
    </row>
    <row r="10" spans="1:6" ht="16">
      <c r="A10" s="331" t="s">
        <v>810</v>
      </c>
      <c r="B10" s="331"/>
      <c r="C10" s="331"/>
      <c r="D10" s="331"/>
      <c r="E10" s="331"/>
      <c r="F10" s="331"/>
    </row>
  </sheetData>
  <mergeCells count="5">
    <mergeCell ref="A2:F2"/>
    <mergeCell ref="A3:F3"/>
    <mergeCell ref="C5:E5"/>
    <mergeCell ref="A10:F10"/>
    <mergeCell ref="A4:F4"/>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C9"/>
  <sheetViews>
    <sheetView showRuler="0" workbookViewId="0">
      <selection activeCell="A2" sqref="A2:C2"/>
    </sheetView>
  </sheetViews>
  <sheetFormatPr baseColWidth="10" defaultColWidth="12.83203125" defaultRowHeight="13"/>
  <cols>
    <col min="1" max="1" width="32.83203125" customWidth="1"/>
    <col min="2" max="3" width="104.1640625" customWidth="1"/>
  </cols>
  <sheetData>
    <row r="1" spans="1:3" ht="14">
      <c r="A1" s="301" t="str">
        <f>HYPERLINK("#'Index'!A1","Back to index")</f>
        <v>Back to index</v>
      </c>
    </row>
    <row r="2" spans="1:3" ht="25.75" customHeight="1">
      <c r="A2" s="315" t="s">
        <v>63</v>
      </c>
      <c r="B2" s="316"/>
      <c r="C2" s="316"/>
    </row>
    <row r="3" spans="1:3" ht="22.5" customHeight="1">
      <c r="A3" s="317" t="s">
        <v>53</v>
      </c>
      <c r="B3" s="316"/>
      <c r="C3" s="316"/>
    </row>
    <row r="4" spans="1:3">
      <c r="A4" s="338"/>
      <c r="B4" s="338"/>
      <c r="C4" s="338"/>
    </row>
    <row r="5" spans="1:3" ht="17">
      <c r="A5" s="95"/>
      <c r="B5" s="15" t="s">
        <v>811</v>
      </c>
      <c r="C5" s="15" t="s">
        <v>812</v>
      </c>
    </row>
    <row r="6" spans="1:3" ht="16">
      <c r="A6" s="332" t="s">
        <v>813</v>
      </c>
      <c r="B6" s="332"/>
      <c r="C6" s="332"/>
    </row>
    <row r="7" spans="1:3" ht="19" customHeight="1">
      <c r="A7" s="7" t="s">
        <v>777</v>
      </c>
      <c r="B7" s="7" t="s">
        <v>776</v>
      </c>
      <c r="C7" s="7" t="s">
        <v>814</v>
      </c>
    </row>
    <row r="8" spans="1:3" ht="17">
      <c r="A8" s="11" t="s">
        <v>781</v>
      </c>
      <c r="B8" s="11" t="s">
        <v>780</v>
      </c>
      <c r="C8" s="11" t="s">
        <v>815</v>
      </c>
    </row>
    <row r="9" spans="1:3" ht="16">
      <c r="A9" s="331"/>
      <c r="B9" s="331"/>
      <c r="C9" s="331"/>
    </row>
  </sheetData>
  <mergeCells count="5">
    <mergeCell ref="A2:C2"/>
    <mergeCell ref="A3:C3"/>
    <mergeCell ref="A6:C6"/>
    <mergeCell ref="A9:C9"/>
    <mergeCell ref="A4:C4"/>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C14"/>
  <sheetViews>
    <sheetView showRuler="0" workbookViewId="0">
      <selection activeCell="A2" sqref="A2:C2"/>
    </sheetView>
  </sheetViews>
  <sheetFormatPr baseColWidth="10" defaultColWidth="12.83203125" defaultRowHeight="13"/>
  <cols>
    <col min="1" max="1" width="9.83203125" customWidth="1"/>
    <col min="2" max="2" width="98" customWidth="1"/>
    <col min="3" max="3" width="10.5" customWidth="1"/>
  </cols>
  <sheetData>
    <row r="1" spans="1:3" ht="14" customHeight="1">
      <c r="A1" s="366" t="str">
        <f>HYPERLINK("#'Index'!A1","Back to index")</f>
        <v>Back to index</v>
      </c>
      <c r="B1" s="366"/>
    </row>
    <row r="2" spans="1:3" ht="25.75" customHeight="1">
      <c r="A2" s="315" t="s">
        <v>63</v>
      </c>
      <c r="B2" s="316"/>
      <c r="C2" s="316"/>
    </row>
    <row r="3" spans="1:3" ht="22.5" customHeight="1">
      <c r="A3" s="317" t="s">
        <v>54</v>
      </c>
      <c r="B3" s="316"/>
      <c r="C3" s="316"/>
    </row>
    <row r="4" spans="1:3">
      <c r="A4" s="338"/>
      <c r="B4" s="338"/>
      <c r="C4" s="338"/>
    </row>
    <row r="5" spans="1:3" ht="17">
      <c r="A5" s="194" t="s">
        <v>816</v>
      </c>
      <c r="B5" s="195" t="s">
        <v>817</v>
      </c>
      <c r="C5" s="63" t="s">
        <v>818</v>
      </c>
    </row>
    <row r="6" spans="1:3" ht="17">
      <c r="A6" s="280"/>
      <c r="B6" s="281" t="s">
        <v>819</v>
      </c>
      <c r="C6" s="282"/>
    </row>
    <row r="7" spans="1:3" ht="68">
      <c r="A7" s="283">
        <v>1</v>
      </c>
      <c r="B7" s="284" t="s">
        <v>820</v>
      </c>
      <c r="C7" s="290" t="s">
        <v>821</v>
      </c>
    </row>
    <row r="8" spans="1:3" ht="85">
      <c r="A8" s="283">
        <v>2</v>
      </c>
      <c r="B8" s="284" t="s">
        <v>822</v>
      </c>
      <c r="C8" s="290" t="s">
        <v>821</v>
      </c>
    </row>
    <row r="9" spans="1:3" ht="68">
      <c r="A9" s="283">
        <v>3</v>
      </c>
      <c r="B9" s="284" t="s">
        <v>823</v>
      </c>
      <c r="C9" s="290" t="s">
        <v>821</v>
      </c>
    </row>
    <row r="10" spans="1:3" ht="17">
      <c r="A10" s="285"/>
      <c r="B10" s="286" t="s">
        <v>824</v>
      </c>
      <c r="C10" s="290"/>
    </row>
    <row r="11" spans="1:3" ht="51">
      <c r="A11" s="283">
        <v>4</v>
      </c>
      <c r="B11" s="284" t="s">
        <v>825</v>
      </c>
      <c r="C11" s="290" t="s">
        <v>821</v>
      </c>
    </row>
    <row r="12" spans="1:3" ht="52" customHeight="1">
      <c r="A12" s="283">
        <v>5</v>
      </c>
      <c r="B12" s="287" t="s">
        <v>826</v>
      </c>
      <c r="C12" s="290" t="s">
        <v>821</v>
      </c>
    </row>
    <row r="13" spans="1:3" ht="53" customHeight="1">
      <c r="A13" s="288">
        <v>6</v>
      </c>
      <c r="B13" s="289" t="s">
        <v>827</v>
      </c>
      <c r="C13" s="291" t="s">
        <v>821</v>
      </c>
    </row>
    <row r="14" spans="1:3">
      <c r="A14" s="196"/>
      <c r="B14" s="55"/>
      <c r="C14" s="55"/>
    </row>
  </sheetData>
  <mergeCells count="4">
    <mergeCell ref="A2:C2"/>
    <mergeCell ref="A3:C3"/>
    <mergeCell ref="A1:B1"/>
    <mergeCell ref="A4:C4"/>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D28"/>
  <sheetViews>
    <sheetView showRuler="0" workbookViewId="0">
      <selection activeCell="A2" sqref="A2:D2"/>
    </sheetView>
  </sheetViews>
  <sheetFormatPr baseColWidth="10" defaultColWidth="12.83203125" defaultRowHeight="13"/>
  <cols>
    <col min="1" max="1" width="56.5" customWidth="1"/>
    <col min="2" max="4" width="16.83203125" customWidth="1"/>
  </cols>
  <sheetData>
    <row r="1" spans="1:4" ht="14">
      <c r="A1" s="301" t="str">
        <f>HYPERLINK("#'Index'!A1","Back to index")</f>
        <v>Back to index</v>
      </c>
    </row>
    <row r="2" spans="1:4" ht="25.75" customHeight="1">
      <c r="A2" s="315" t="s">
        <v>63</v>
      </c>
      <c r="B2" s="316"/>
      <c r="C2" s="316"/>
      <c r="D2" s="316"/>
    </row>
    <row r="3" spans="1:4" ht="39.25" customHeight="1">
      <c r="A3" s="317" t="s">
        <v>55</v>
      </c>
      <c r="B3" s="316"/>
      <c r="C3" s="316"/>
      <c r="D3" s="316"/>
    </row>
    <row r="4" spans="1:4">
      <c r="A4" s="338"/>
      <c r="B4" s="338"/>
      <c r="C4" s="338"/>
      <c r="D4" s="338"/>
    </row>
    <row r="5" spans="1:4" ht="34">
      <c r="A5" s="15" t="s">
        <v>467</v>
      </c>
      <c r="B5" s="38" t="s">
        <v>828</v>
      </c>
      <c r="C5" s="39" t="s">
        <v>539</v>
      </c>
      <c r="D5" s="38" t="s">
        <v>540</v>
      </c>
    </row>
    <row r="6" spans="1:4" ht="17">
      <c r="A6" s="4" t="s">
        <v>491</v>
      </c>
      <c r="B6" s="125" t="s">
        <v>829</v>
      </c>
      <c r="C6" s="292">
        <v>18171</v>
      </c>
      <c r="D6" s="145">
        <v>17138</v>
      </c>
    </row>
    <row r="7" spans="1:4" ht="34">
      <c r="A7" s="7" t="s">
        <v>492</v>
      </c>
      <c r="B7" s="104" t="s">
        <v>830</v>
      </c>
      <c r="C7" s="216">
        <v>329</v>
      </c>
      <c r="D7" s="80">
        <v>125</v>
      </c>
    </row>
    <row r="8" spans="1:4" ht="17">
      <c r="A8" s="7" t="s">
        <v>493</v>
      </c>
      <c r="B8" s="104" t="s">
        <v>831</v>
      </c>
      <c r="C8" s="216">
        <v>55</v>
      </c>
      <c r="D8" s="80">
        <v>45</v>
      </c>
    </row>
    <row r="9" spans="1:4" ht="17">
      <c r="A9" s="7" t="s">
        <v>494</v>
      </c>
      <c r="B9" s="104" t="s">
        <v>832</v>
      </c>
      <c r="C9" s="216">
        <v>151</v>
      </c>
      <c r="D9" s="80">
        <v>121</v>
      </c>
    </row>
    <row r="10" spans="1:4" ht="17">
      <c r="A10" s="7" t="s">
        <v>495</v>
      </c>
      <c r="B10" s="104" t="s">
        <v>833</v>
      </c>
      <c r="C10" s="216">
        <v>-16709</v>
      </c>
      <c r="D10" s="80">
        <v>-15634</v>
      </c>
    </row>
    <row r="11" spans="1:4" ht="17">
      <c r="A11" s="9" t="s">
        <v>496</v>
      </c>
      <c r="B11" s="8" t="s">
        <v>834</v>
      </c>
      <c r="C11" s="293">
        <v>1997</v>
      </c>
      <c r="D11" s="132">
        <v>1795</v>
      </c>
    </row>
    <row r="12" spans="1:4" ht="17">
      <c r="A12" s="7" t="s">
        <v>497</v>
      </c>
      <c r="B12" s="104" t="s">
        <v>835</v>
      </c>
      <c r="C12" s="216">
        <v>-617</v>
      </c>
      <c r="D12" s="80">
        <v>-633</v>
      </c>
    </row>
    <row r="13" spans="1:4" ht="34">
      <c r="A13" s="7" t="s">
        <v>498</v>
      </c>
      <c r="B13" s="104" t="s">
        <v>836</v>
      </c>
      <c r="C13" s="216">
        <v>-233</v>
      </c>
      <c r="D13" s="80">
        <v>-212</v>
      </c>
    </row>
    <row r="14" spans="1:4" ht="17">
      <c r="A14" s="7" t="s">
        <v>499</v>
      </c>
      <c r="B14" s="104" t="s">
        <v>837</v>
      </c>
      <c r="C14" s="216">
        <v>-415</v>
      </c>
      <c r="D14" s="80">
        <v>-431</v>
      </c>
    </row>
    <row r="15" spans="1:4" ht="17">
      <c r="A15" s="9" t="s">
        <v>500</v>
      </c>
      <c r="B15" s="8" t="s">
        <v>834</v>
      </c>
      <c r="C15" s="293">
        <v>731</v>
      </c>
      <c r="D15" s="132">
        <v>519</v>
      </c>
    </row>
    <row r="16" spans="1:4" ht="17">
      <c r="A16" s="7" t="s">
        <v>501</v>
      </c>
      <c r="B16" s="104" t="s">
        <v>838</v>
      </c>
      <c r="C16" s="216">
        <v>2</v>
      </c>
      <c r="D16" s="80">
        <v>21</v>
      </c>
    </row>
    <row r="17" spans="1:4" ht="17">
      <c r="A17" s="7" t="s">
        <v>502</v>
      </c>
      <c r="B17" s="104" t="s">
        <v>839</v>
      </c>
      <c r="C17" s="216">
        <v>19</v>
      </c>
      <c r="D17" s="80">
        <v>19</v>
      </c>
    </row>
    <row r="18" spans="1:4" ht="17">
      <c r="A18" s="7" t="s">
        <v>503</v>
      </c>
      <c r="B18" s="104" t="s">
        <v>839</v>
      </c>
      <c r="C18" s="216">
        <v>-23</v>
      </c>
      <c r="D18" s="80">
        <v>-36</v>
      </c>
    </row>
    <row r="19" spans="1:4" ht="17">
      <c r="A19" s="7" t="s">
        <v>504</v>
      </c>
      <c r="B19" s="104" t="s">
        <v>840</v>
      </c>
      <c r="C19" s="216">
        <v>0</v>
      </c>
      <c r="D19" s="80">
        <v>0</v>
      </c>
    </row>
    <row r="20" spans="1:4" ht="17">
      <c r="A20" s="7" t="s">
        <v>505</v>
      </c>
      <c r="B20" s="104" t="s">
        <v>840</v>
      </c>
      <c r="C20" s="216">
        <v>-2</v>
      </c>
      <c r="D20" s="80">
        <v>0</v>
      </c>
    </row>
    <row r="21" spans="1:4" ht="17">
      <c r="A21" s="9" t="s">
        <v>477</v>
      </c>
      <c r="B21" s="8" t="s">
        <v>834</v>
      </c>
      <c r="C21" s="293">
        <v>727</v>
      </c>
      <c r="D21" s="132">
        <v>523</v>
      </c>
    </row>
    <row r="22" spans="1:4" ht="17">
      <c r="A22" s="7" t="s">
        <v>506</v>
      </c>
      <c r="B22" s="104" t="s">
        <v>841</v>
      </c>
      <c r="C22" s="216">
        <v>-188</v>
      </c>
      <c r="D22" s="80">
        <v>-107</v>
      </c>
    </row>
    <row r="23" spans="1:4" ht="17">
      <c r="A23" s="9" t="s">
        <v>507</v>
      </c>
      <c r="B23" s="8" t="s">
        <v>834</v>
      </c>
      <c r="C23" s="293">
        <v>539</v>
      </c>
      <c r="D23" s="132">
        <v>416</v>
      </c>
    </row>
    <row r="24" spans="1:4" ht="17" customHeight="1">
      <c r="A24" s="7" t="s">
        <v>842</v>
      </c>
      <c r="B24" s="104" t="s">
        <v>843</v>
      </c>
      <c r="C24" s="216">
        <v>539</v>
      </c>
      <c r="D24" s="80">
        <v>416</v>
      </c>
    </row>
    <row r="25" spans="1:4" ht="34">
      <c r="A25" s="7" t="s">
        <v>844</v>
      </c>
      <c r="B25" s="104" t="s">
        <v>843</v>
      </c>
      <c r="C25" s="216">
        <v>0</v>
      </c>
      <c r="D25" s="80">
        <v>0</v>
      </c>
    </row>
    <row r="26" spans="1:4" ht="17">
      <c r="A26" s="7" t="s">
        <v>845</v>
      </c>
      <c r="B26" s="104" t="s">
        <v>846</v>
      </c>
      <c r="C26" s="294">
        <v>12.34</v>
      </c>
      <c r="D26" s="197">
        <v>9.5299999999999994</v>
      </c>
    </row>
    <row r="27" spans="1:4" ht="17">
      <c r="A27" s="11" t="s">
        <v>847</v>
      </c>
      <c r="B27" s="106" t="s">
        <v>846</v>
      </c>
      <c r="C27" s="295">
        <v>12.34</v>
      </c>
      <c r="D27" s="198">
        <v>9.5299999999999994</v>
      </c>
    </row>
    <row r="28" spans="1:4" ht="22.5" customHeight="1">
      <c r="A28" s="365"/>
      <c r="B28" s="365"/>
      <c r="C28" s="365"/>
      <c r="D28" s="365"/>
    </row>
  </sheetData>
  <mergeCells count="4">
    <mergeCell ref="A2:D2"/>
    <mergeCell ref="A3:D3"/>
    <mergeCell ref="A28:D28"/>
    <mergeCell ref="A4:D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
  <sheetViews>
    <sheetView showRuler="0" workbookViewId="0">
      <selection activeCell="A2" sqref="A2:E2"/>
    </sheetView>
  </sheetViews>
  <sheetFormatPr baseColWidth="10" defaultColWidth="12.83203125" defaultRowHeight="13"/>
  <cols>
    <col min="1" max="1" width="12.6640625" customWidth="1"/>
    <col min="2" max="2" width="58.33203125" customWidth="1"/>
    <col min="3" max="3" width="0" hidden="1" customWidth="1"/>
    <col min="4" max="4" width="18.1640625" customWidth="1"/>
    <col min="5" max="5" width="19.33203125" customWidth="1"/>
  </cols>
  <sheetData>
    <row r="1" spans="1:5" ht="14">
      <c r="A1" s="301" t="str">
        <f>HYPERLINK("#'Index'!A1","Back to index")</f>
        <v>Back to index</v>
      </c>
    </row>
    <row r="2" spans="1:5" ht="25.75" customHeight="1">
      <c r="A2" s="315" t="s">
        <v>63</v>
      </c>
      <c r="B2" s="315"/>
      <c r="C2" s="315"/>
      <c r="D2" s="315"/>
      <c r="E2" s="315"/>
    </row>
    <row r="3" spans="1:5" ht="23" customHeight="1">
      <c r="A3" s="317" t="s">
        <v>6</v>
      </c>
      <c r="B3" s="316"/>
      <c r="C3" s="316"/>
      <c r="D3" s="316"/>
      <c r="E3" s="37"/>
    </row>
    <row r="4" spans="1:5">
      <c r="A4" s="334"/>
      <c r="B4" s="334"/>
      <c r="C4" s="334"/>
      <c r="D4" s="334"/>
      <c r="E4" s="334"/>
    </row>
    <row r="5" spans="1:5" ht="17">
      <c r="A5" s="15" t="s">
        <v>205</v>
      </c>
      <c r="B5" s="15" t="s">
        <v>206</v>
      </c>
      <c r="C5" s="39"/>
      <c r="D5" s="44" t="s">
        <v>207</v>
      </c>
      <c r="E5" s="39" t="s">
        <v>208</v>
      </c>
    </row>
    <row r="6" spans="1:5" ht="16">
      <c r="A6" s="332" t="s">
        <v>209</v>
      </c>
      <c r="B6" s="332"/>
      <c r="C6" s="45"/>
      <c r="D6" s="45"/>
      <c r="E6" s="46">
        <v>1</v>
      </c>
    </row>
    <row r="7" spans="1:5" ht="136">
      <c r="A7" s="17" t="s">
        <v>210</v>
      </c>
      <c r="B7" s="17" t="s">
        <v>989</v>
      </c>
      <c r="C7" s="47"/>
      <c r="D7" s="48" t="s">
        <v>211</v>
      </c>
      <c r="E7" s="49"/>
    </row>
    <row r="8" spans="1:5" ht="68">
      <c r="A8" s="17" t="s">
        <v>89</v>
      </c>
      <c r="B8" s="17" t="s">
        <v>1105</v>
      </c>
      <c r="C8" s="47"/>
      <c r="D8" s="48" t="s">
        <v>211</v>
      </c>
      <c r="E8" s="49"/>
    </row>
    <row r="9" spans="1:5" ht="34">
      <c r="A9" s="17" t="s">
        <v>212</v>
      </c>
      <c r="B9" s="17" t="s">
        <v>990</v>
      </c>
      <c r="C9" s="47"/>
      <c r="D9" s="48" t="s">
        <v>213</v>
      </c>
      <c r="E9" s="49"/>
    </row>
    <row r="10" spans="1:5" ht="16">
      <c r="A10" s="333" t="s">
        <v>214</v>
      </c>
      <c r="B10" s="333"/>
      <c r="C10" s="47"/>
      <c r="D10" s="47"/>
      <c r="E10" s="50">
        <v>1.5</v>
      </c>
    </row>
    <row r="11" spans="1:5" ht="85">
      <c r="A11" s="17" t="s">
        <v>210</v>
      </c>
      <c r="B11" s="17" t="s">
        <v>991</v>
      </c>
      <c r="C11" s="47"/>
      <c r="D11" s="48" t="s">
        <v>211</v>
      </c>
      <c r="E11" s="49"/>
    </row>
    <row r="12" spans="1:5" ht="102">
      <c r="A12" s="17" t="s">
        <v>89</v>
      </c>
      <c r="B12" s="17" t="s">
        <v>992</v>
      </c>
      <c r="C12" s="51"/>
      <c r="D12" s="48" t="s">
        <v>211</v>
      </c>
      <c r="E12" s="49"/>
    </row>
    <row r="13" spans="1:5" ht="34">
      <c r="A13" s="52" t="s">
        <v>212</v>
      </c>
      <c r="B13" s="52" t="s">
        <v>993</v>
      </c>
      <c r="C13" s="53"/>
      <c r="D13" s="54" t="s">
        <v>211</v>
      </c>
      <c r="E13" s="53"/>
    </row>
    <row r="14" spans="1:5">
      <c r="A14" s="55"/>
      <c r="B14" s="55"/>
      <c r="C14" s="55"/>
      <c r="D14" s="55"/>
      <c r="E14" s="55"/>
    </row>
  </sheetData>
  <mergeCells count="5">
    <mergeCell ref="A3:D3"/>
    <mergeCell ref="A6:B6"/>
    <mergeCell ref="A10:B10"/>
    <mergeCell ref="A2:E2"/>
    <mergeCell ref="A4:E4"/>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C21"/>
  <sheetViews>
    <sheetView showRuler="0" workbookViewId="0">
      <selection activeCell="A2" sqref="A2:C2"/>
    </sheetView>
  </sheetViews>
  <sheetFormatPr baseColWidth="10" defaultColWidth="12.83203125" defaultRowHeight="13"/>
  <cols>
    <col min="1" max="1" width="80.33203125" customWidth="1"/>
    <col min="2" max="3" width="16.83203125" customWidth="1"/>
  </cols>
  <sheetData>
    <row r="1" spans="1:3" ht="14">
      <c r="A1" s="301" t="str">
        <f>HYPERLINK("#'Index'!A1","Back to index")</f>
        <v>Back to index</v>
      </c>
    </row>
    <row r="2" spans="1:3" ht="25.75" customHeight="1">
      <c r="A2" s="315" t="s">
        <v>63</v>
      </c>
      <c r="B2" s="316"/>
      <c r="C2" s="316"/>
    </row>
    <row r="3" spans="1:3" ht="39.25" customHeight="1">
      <c r="A3" s="317" t="s">
        <v>56</v>
      </c>
      <c r="B3" s="316"/>
      <c r="C3" s="316"/>
    </row>
    <row r="4" spans="1:3">
      <c r="A4" s="338"/>
      <c r="B4" s="338"/>
      <c r="C4" s="338"/>
    </row>
    <row r="5" spans="1:3" ht="33.25" customHeight="1">
      <c r="A5" s="15" t="s">
        <v>467</v>
      </c>
      <c r="B5" s="39" t="s">
        <v>539</v>
      </c>
      <c r="C5" s="38" t="s">
        <v>540</v>
      </c>
    </row>
    <row r="6" spans="1:3" ht="17">
      <c r="A6" s="4" t="s">
        <v>507</v>
      </c>
      <c r="B6" s="292">
        <v>539</v>
      </c>
      <c r="C6" s="145">
        <v>416</v>
      </c>
    </row>
    <row r="7" spans="1:3" ht="17">
      <c r="A7" s="9" t="s">
        <v>848</v>
      </c>
      <c r="B7" s="296"/>
      <c r="C7" s="103"/>
    </row>
    <row r="8" spans="1:3" ht="17">
      <c r="A8" s="189" t="s">
        <v>849</v>
      </c>
      <c r="B8" s="216">
        <v>3</v>
      </c>
      <c r="C8" s="80">
        <v>8</v>
      </c>
    </row>
    <row r="9" spans="1:3" ht="17">
      <c r="A9" s="189" t="s">
        <v>850</v>
      </c>
      <c r="B9" s="216">
        <v>0</v>
      </c>
      <c r="C9" s="80">
        <v>0</v>
      </c>
    </row>
    <row r="10" spans="1:3" ht="17">
      <c r="A10" s="189" t="s">
        <v>851</v>
      </c>
      <c r="B10" s="216">
        <v>-24</v>
      </c>
      <c r="C10" s="80">
        <v>-26</v>
      </c>
    </row>
    <row r="11" spans="1:3" ht="17">
      <c r="A11" s="189" t="s">
        <v>852</v>
      </c>
      <c r="B11" s="216">
        <v>1</v>
      </c>
      <c r="C11" s="80">
        <v>-1</v>
      </c>
    </row>
    <row r="12" spans="1:3" ht="17" customHeight="1">
      <c r="A12" s="189" t="s">
        <v>853</v>
      </c>
      <c r="B12" s="216">
        <v>0</v>
      </c>
      <c r="C12" s="80">
        <v>-1</v>
      </c>
    </row>
    <row r="13" spans="1:3" ht="17">
      <c r="A13" s="9" t="s">
        <v>854</v>
      </c>
      <c r="B13" s="296"/>
      <c r="C13" s="103"/>
    </row>
    <row r="14" spans="1:3" ht="17">
      <c r="A14" s="189" t="s">
        <v>855</v>
      </c>
      <c r="B14" s="216">
        <v>7</v>
      </c>
      <c r="C14" s="80">
        <v>-34</v>
      </c>
    </row>
    <row r="15" spans="1:3" ht="17">
      <c r="A15" s="189" t="s">
        <v>852</v>
      </c>
      <c r="B15" s="216">
        <v>-1</v>
      </c>
      <c r="C15" s="80">
        <v>10</v>
      </c>
    </row>
    <row r="16" spans="1:3" ht="33" customHeight="1">
      <c r="A16" s="189" t="s">
        <v>856</v>
      </c>
      <c r="B16" s="216">
        <v>0</v>
      </c>
      <c r="C16" s="80">
        <v>0</v>
      </c>
    </row>
    <row r="17" spans="1:3" ht="17">
      <c r="A17" s="9" t="s">
        <v>857</v>
      </c>
      <c r="B17" s="293">
        <v>-15</v>
      </c>
      <c r="C17" s="132">
        <v>-44</v>
      </c>
    </row>
    <row r="18" spans="1:3" ht="17">
      <c r="A18" s="9" t="s">
        <v>858</v>
      </c>
      <c r="B18" s="293">
        <v>524</v>
      </c>
      <c r="C18" s="132">
        <v>372</v>
      </c>
    </row>
    <row r="19" spans="1:3" ht="17">
      <c r="A19" s="7" t="s">
        <v>859</v>
      </c>
      <c r="B19" s="216">
        <v>524</v>
      </c>
      <c r="C19" s="80">
        <v>372</v>
      </c>
    </row>
    <row r="20" spans="1:3" ht="17">
      <c r="A20" s="11" t="s">
        <v>860</v>
      </c>
      <c r="B20" s="243">
        <v>0</v>
      </c>
      <c r="C20" s="154">
        <v>0</v>
      </c>
    </row>
    <row r="21" spans="1:3" ht="16">
      <c r="A21" s="365"/>
      <c r="B21" s="365"/>
      <c r="C21" s="365"/>
    </row>
  </sheetData>
  <mergeCells count="4">
    <mergeCell ref="A2:C2"/>
    <mergeCell ref="A3:C3"/>
    <mergeCell ref="A21:C21"/>
    <mergeCell ref="A4:C4"/>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E20"/>
  <sheetViews>
    <sheetView showRuler="0" workbookViewId="0">
      <selection activeCell="A2" sqref="A2:D2"/>
    </sheetView>
  </sheetViews>
  <sheetFormatPr baseColWidth="10" defaultColWidth="12.83203125" defaultRowHeight="13"/>
  <cols>
    <col min="1" max="1" width="68.33203125" customWidth="1"/>
    <col min="2" max="4" width="16.83203125" customWidth="1"/>
  </cols>
  <sheetData>
    <row r="1" spans="1:5" ht="14">
      <c r="A1" s="301" t="str">
        <f>HYPERLINK("#'Index'!A1","Back to index")</f>
        <v>Back to index</v>
      </c>
    </row>
    <row r="2" spans="1:5" ht="25.75" customHeight="1">
      <c r="A2" s="315" t="s">
        <v>63</v>
      </c>
      <c r="B2" s="316"/>
      <c r="C2" s="316"/>
      <c r="D2" s="316"/>
    </row>
    <row r="3" spans="1:5" ht="22.5" customHeight="1">
      <c r="A3" s="317" t="s">
        <v>57</v>
      </c>
      <c r="B3" s="316"/>
      <c r="C3" s="316"/>
      <c r="D3" s="316"/>
      <c r="E3" s="37"/>
    </row>
    <row r="4" spans="1:5" ht="13" customHeight="1">
      <c r="A4" s="338"/>
      <c r="B4" s="338"/>
      <c r="C4" s="338"/>
      <c r="D4" s="338"/>
    </row>
    <row r="5" spans="1:5" ht="22.5" customHeight="1">
      <c r="A5" s="15" t="s">
        <v>467</v>
      </c>
      <c r="B5" s="38" t="s">
        <v>861</v>
      </c>
      <c r="C5" s="39" t="s">
        <v>468</v>
      </c>
      <c r="D5" s="38" t="s">
        <v>469</v>
      </c>
    </row>
    <row r="6" spans="1:5" ht="17">
      <c r="A6" s="6" t="s">
        <v>862</v>
      </c>
      <c r="B6" s="125" t="s">
        <v>863</v>
      </c>
      <c r="C6" s="59">
        <v>129</v>
      </c>
      <c r="D6" s="79">
        <v>139</v>
      </c>
    </row>
    <row r="7" spans="1:5" ht="17">
      <c r="A7" s="7" t="s">
        <v>864</v>
      </c>
      <c r="B7" s="104" t="s">
        <v>865</v>
      </c>
      <c r="C7" s="297">
        <v>3290</v>
      </c>
      <c r="D7" s="80">
        <v>2789</v>
      </c>
    </row>
    <row r="8" spans="1:5" ht="17">
      <c r="A8" s="7" t="s">
        <v>866</v>
      </c>
      <c r="B8" s="104" t="s">
        <v>867</v>
      </c>
      <c r="C8" s="61">
        <v>9</v>
      </c>
      <c r="D8" s="80">
        <v>11</v>
      </c>
    </row>
    <row r="9" spans="1:5" ht="17">
      <c r="A9" s="7" t="s">
        <v>868</v>
      </c>
      <c r="B9" s="104" t="s">
        <v>869</v>
      </c>
      <c r="C9" s="61">
        <v>99</v>
      </c>
      <c r="D9" s="80">
        <v>112</v>
      </c>
    </row>
    <row r="10" spans="1:5" ht="17">
      <c r="A10" s="7" t="s">
        <v>528</v>
      </c>
      <c r="B10" s="104" t="s">
        <v>870</v>
      </c>
      <c r="C10" s="61">
        <v>29</v>
      </c>
      <c r="D10" s="80">
        <v>18</v>
      </c>
    </row>
    <row r="11" spans="1:5" ht="17">
      <c r="A11" s="7" t="s">
        <v>871</v>
      </c>
      <c r="B11" s="104" t="s">
        <v>872</v>
      </c>
      <c r="C11" s="61">
        <v>39</v>
      </c>
      <c r="D11" s="80">
        <v>37</v>
      </c>
    </row>
    <row r="12" spans="1:5" ht="17">
      <c r="A12" s="9" t="s">
        <v>873</v>
      </c>
      <c r="B12" s="103" t="s">
        <v>874</v>
      </c>
      <c r="C12" s="131">
        <v>3596</v>
      </c>
      <c r="D12" s="132">
        <v>3106</v>
      </c>
    </row>
    <row r="13" spans="1:5" ht="17">
      <c r="A13" s="7" t="s">
        <v>471</v>
      </c>
      <c r="B13" s="104" t="s">
        <v>875</v>
      </c>
      <c r="C13" s="61">
        <v>4012</v>
      </c>
      <c r="D13" s="80">
        <v>3546</v>
      </c>
    </row>
    <row r="14" spans="1:5" ht="17">
      <c r="A14" s="7" t="s">
        <v>472</v>
      </c>
      <c r="B14" s="104" t="s">
        <v>876</v>
      </c>
      <c r="C14" s="61">
        <v>618</v>
      </c>
      <c r="D14" s="80">
        <v>628</v>
      </c>
    </row>
    <row r="15" spans="1:5" ht="17">
      <c r="A15" s="7" t="s">
        <v>877</v>
      </c>
      <c r="B15" s="104" t="s">
        <v>872</v>
      </c>
      <c r="C15" s="61">
        <v>149</v>
      </c>
      <c r="D15" s="80">
        <v>133</v>
      </c>
    </row>
    <row r="16" spans="1:5" ht="17">
      <c r="A16" s="7" t="s">
        <v>878</v>
      </c>
      <c r="B16" s="104" t="s">
        <v>872</v>
      </c>
      <c r="C16" s="61">
        <v>143</v>
      </c>
      <c r="D16" s="80">
        <v>111</v>
      </c>
    </row>
    <row r="17" spans="1:4" ht="17">
      <c r="A17" s="7" t="s">
        <v>522</v>
      </c>
      <c r="B17" s="104" t="s">
        <v>879</v>
      </c>
      <c r="C17" s="61">
        <v>319</v>
      </c>
      <c r="D17" s="80">
        <v>322</v>
      </c>
    </row>
    <row r="18" spans="1:4" ht="17">
      <c r="A18" s="9" t="s">
        <v>880</v>
      </c>
      <c r="B18" s="103" t="s">
        <v>874</v>
      </c>
      <c r="C18" s="131">
        <v>5242</v>
      </c>
      <c r="D18" s="132">
        <v>4740</v>
      </c>
    </row>
    <row r="19" spans="1:4" ht="17">
      <c r="A19" s="10" t="s">
        <v>531</v>
      </c>
      <c r="B19" s="57" t="s">
        <v>834</v>
      </c>
      <c r="C19" s="146">
        <v>8838</v>
      </c>
      <c r="D19" s="83">
        <v>7846</v>
      </c>
    </row>
    <row r="20" spans="1:4" ht="16">
      <c r="A20" s="365"/>
      <c r="B20" s="365"/>
      <c r="C20" s="365"/>
      <c r="D20" s="365"/>
    </row>
  </sheetData>
  <mergeCells count="4">
    <mergeCell ref="A2:D2"/>
    <mergeCell ref="A3:D3"/>
    <mergeCell ref="A20:D20"/>
    <mergeCell ref="A4:D4"/>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E46"/>
  <sheetViews>
    <sheetView showRuler="0" workbookViewId="0">
      <selection activeCell="A2" sqref="A2:D2"/>
    </sheetView>
  </sheetViews>
  <sheetFormatPr baseColWidth="10" defaultColWidth="12.83203125" defaultRowHeight="13"/>
  <cols>
    <col min="1" max="1" width="64.6640625" customWidth="1"/>
    <col min="2" max="2" width="16.83203125" customWidth="1"/>
    <col min="3" max="3" width="22.33203125" customWidth="1"/>
    <col min="4" max="4" width="21.33203125" customWidth="1"/>
  </cols>
  <sheetData>
    <row r="1" spans="1:5" ht="15.75" customHeight="1">
      <c r="A1" s="301" t="str">
        <f>HYPERLINK("#'Index'!A1","Back to index")</f>
        <v>Back to index</v>
      </c>
    </row>
    <row r="2" spans="1:5" ht="25.75" customHeight="1">
      <c r="A2" s="315" t="s">
        <v>63</v>
      </c>
      <c r="B2" s="316"/>
      <c r="C2" s="316"/>
      <c r="D2" s="316"/>
    </row>
    <row r="3" spans="1:5" ht="22.5" customHeight="1">
      <c r="A3" s="317" t="s">
        <v>58</v>
      </c>
      <c r="B3" s="316"/>
      <c r="C3" s="316"/>
      <c r="D3" s="316"/>
      <c r="E3" s="37"/>
    </row>
    <row r="4" spans="1:5" ht="13" customHeight="1">
      <c r="A4" s="338"/>
      <c r="B4" s="338"/>
      <c r="C4" s="338"/>
      <c r="D4" s="338"/>
    </row>
    <row r="5" spans="1:5" ht="22.5" customHeight="1">
      <c r="A5" s="15" t="s">
        <v>467</v>
      </c>
      <c r="B5" s="38" t="s">
        <v>861</v>
      </c>
      <c r="C5" s="39" t="s">
        <v>468</v>
      </c>
      <c r="D5" s="38" t="s">
        <v>469</v>
      </c>
    </row>
    <row r="6" spans="1:5" ht="15" customHeight="1">
      <c r="A6" s="199" t="s">
        <v>881</v>
      </c>
      <c r="B6" s="125" t="s">
        <v>882</v>
      </c>
      <c r="C6" s="59">
        <v>115</v>
      </c>
      <c r="D6" s="79">
        <v>115</v>
      </c>
    </row>
    <row r="7" spans="1:5" ht="15" customHeight="1">
      <c r="A7" s="189" t="s">
        <v>883</v>
      </c>
      <c r="B7" s="104" t="s">
        <v>882</v>
      </c>
      <c r="C7" s="61">
        <v>343</v>
      </c>
      <c r="D7" s="80">
        <v>343</v>
      </c>
    </row>
    <row r="8" spans="1:5" ht="15" customHeight="1">
      <c r="A8" s="189" t="s">
        <v>884</v>
      </c>
      <c r="B8" s="8" t="s">
        <v>834</v>
      </c>
      <c r="C8" s="61">
        <v>-60</v>
      </c>
      <c r="D8" s="80">
        <v>-60</v>
      </c>
    </row>
    <row r="9" spans="1:5" ht="15" customHeight="1">
      <c r="A9" s="189" t="s">
        <v>885</v>
      </c>
      <c r="B9" s="104" t="s">
        <v>882</v>
      </c>
      <c r="C9" s="61">
        <v>4633</v>
      </c>
      <c r="D9" s="80">
        <v>4154</v>
      </c>
    </row>
    <row r="10" spans="1:5" ht="15" customHeight="1">
      <c r="A10" s="189" t="s">
        <v>886</v>
      </c>
      <c r="B10" s="104" t="s">
        <v>882</v>
      </c>
      <c r="C10" s="61">
        <v>-18</v>
      </c>
      <c r="D10" s="80">
        <v>3</v>
      </c>
    </row>
    <row r="11" spans="1:5" ht="15" customHeight="1">
      <c r="A11" s="7" t="s">
        <v>887</v>
      </c>
      <c r="B11" s="8" t="s">
        <v>834</v>
      </c>
      <c r="C11" s="61">
        <v>5013</v>
      </c>
      <c r="D11" s="80">
        <v>4555</v>
      </c>
    </row>
    <row r="12" spans="1:5" ht="15" customHeight="1">
      <c r="A12" s="7" t="s">
        <v>888</v>
      </c>
      <c r="B12" s="104" t="s">
        <v>882</v>
      </c>
      <c r="C12" s="61">
        <v>1</v>
      </c>
      <c r="D12" s="80">
        <v>1</v>
      </c>
    </row>
    <row r="13" spans="1:5" ht="15" customHeight="1">
      <c r="A13" s="9" t="s">
        <v>524</v>
      </c>
      <c r="B13" s="103" t="s">
        <v>874</v>
      </c>
      <c r="C13" s="131">
        <v>5015</v>
      </c>
      <c r="D13" s="132">
        <v>4556</v>
      </c>
    </row>
    <row r="14" spans="1:5" ht="17" customHeight="1">
      <c r="A14" s="7" t="s">
        <v>889</v>
      </c>
      <c r="B14" s="104" t="s">
        <v>890</v>
      </c>
      <c r="C14" s="61">
        <v>131</v>
      </c>
      <c r="D14" s="80">
        <v>137</v>
      </c>
    </row>
    <row r="15" spans="1:5" ht="15" customHeight="1">
      <c r="A15" s="7" t="s">
        <v>891</v>
      </c>
      <c r="B15" s="104" t="s">
        <v>892</v>
      </c>
      <c r="C15" s="61">
        <v>52</v>
      </c>
      <c r="D15" s="80">
        <v>53</v>
      </c>
    </row>
    <row r="16" spans="1:5" ht="15" customHeight="1">
      <c r="A16" s="7" t="s">
        <v>528</v>
      </c>
      <c r="B16" s="104" t="s">
        <v>870</v>
      </c>
      <c r="C16" s="61">
        <v>681</v>
      </c>
      <c r="D16" s="80">
        <v>571</v>
      </c>
    </row>
    <row r="17" spans="1:4" ht="15" customHeight="1">
      <c r="A17" s="7" t="s">
        <v>515</v>
      </c>
      <c r="B17" s="104" t="s">
        <v>893</v>
      </c>
      <c r="C17" s="61">
        <v>483</v>
      </c>
      <c r="D17" s="80">
        <v>235</v>
      </c>
    </row>
    <row r="18" spans="1:4" ht="15" customHeight="1">
      <c r="A18" s="7" t="s">
        <v>894</v>
      </c>
      <c r="B18" s="104" t="s">
        <v>893</v>
      </c>
      <c r="C18" s="61">
        <v>90</v>
      </c>
      <c r="D18" s="80">
        <v>84</v>
      </c>
    </row>
    <row r="19" spans="1:4" ht="15" customHeight="1">
      <c r="A19" s="7" t="s">
        <v>895</v>
      </c>
      <c r="B19" s="104" t="s">
        <v>893</v>
      </c>
      <c r="C19" s="61">
        <v>14</v>
      </c>
      <c r="D19" s="80">
        <v>3</v>
      </c>
    </row>
    <row r="20" spans="1:4" ht="15" customHeight="1">
      <c r="A20" s="9" t="s">
        <v>896</v>
      </c>
      <c r="B20" s="103" t="s">
        <v>874</v>
      </c>
      <c r="C20" s="131">
        <v>1451</v>
      </c>
      <c r="D20" s="132">
        <v>1083</v>
      </c>
    </row>
    <row r="21" spans="1:4" ht="15" customHeight="1">
      <c r="A21" s="7" t="s">
        <v>534</v>
      </c>
      <c r="B21" s="104" t="s">
        <v>892</v>
      </c>
      <c r="C21" s="61">
        <v>72</v>
      </c>
      <c r="D21" s="80">
        <v>73</v>
      </c>
    </row>
    <row r="22" spans="1:4" ht="15" customHeight="1">
      <c r="A22" s="7" t="s">
        <v>897</v>
      </c>
      <c r="B22" s="104" t="s">
        <v>893</v>
      </c>
      <c r="C22" s="61">
        <v>1790</v>
      </c>
      <c r="D22" s="80">
        <v>1584</v>
      </c>
    </row>
    <row r="23" spans="1:4" ht="15" customHeight="1">
      <c r="A23" s="7" t="s">
        <v>898</v>
      </c>
      <c r="B23" s="104" t="s">
        <v>893</v>
      </c>
      <c r="C23" s="61">
        <v>22</v>
      </c>
      <c r="D23" s="80">
        <v>28</v>
      </c>
    </row>
    <row r="24" spans="1:4" ht="15" customHeight="1">
      <c r="A24" s="7" t="s">
        <v>518</v>
      </c>
      <c r="B24" s="104" t="s">
        <v>893</v>
      </c>
      <c r="C24" s="61">
        <v>58</v>
      </c>
      <c r="D24" s="80">
        <v>148</v>
      </c>
    </row>
    <row r="25" spans="1:4" ht="15" customHeight="1">
      <c r="A25" s="7" t="s">
        <v>899</v>
      </c>
      <c r="B25" s="104" t="s">
        <v>893</v>
      </c>
      <c r="C25" s="61">
        <v>333</v>
      </c>
      <c r="D25" s="80">
        <v>284</v>
      </c>
    </row>
    <row r="26" spans="1:4" ht="15" customHeight="1">
      <c r="A26" s="7" t="s">
        <v>900</v>
      </c>
      <c r="B26" s="104" t="s">
        <v>893</v>
      </c>
      <c r="C26" s="61">
        <v>97</v>
      </c>
      <c r="D26" s="80">
        <v>91</v>
      </c>
    </row>
    <row r="27" spans="1:4" ht="15" customHeight="1">
      <c r="A27" s="9" t="s">
        <v>901</v>
      </c>
      <c r="B27" s="103" t="s">
        <v>874</v>
      </c>
      <c r="C27" s="131">
        <v>2372</v>
      </c>
      <c r="D27" s="132">
        <v>2208</v>
      </c>
    </row>
    <row r="28" spans="1:4" ht="15" customHeight="1">
      <c r="A28" s="10" t="s">
        <v>536</v>
      </c>
      <c r="B28" s="57" t="s">
        <v>834</v>
      </c>
      <c r="C28" s="146">
        <v>8838</v>
      </c>
      <c r="D28" s="83">
        <v>7846</v>
      </c>
    </row>
    <row r="29" spans="1:4" ht="22.5" customHeight="1">
      <c r="A29" s="365"/>
      <c r="B29" s="365"/>
      <c r="C29" s="365"/>
      <c r="D29" s="365"/>
    </row>
    <row r="30" spans="1:4" ht="15" customHeight="1"/>
    <row r="31" spans="1:4" ht="15" customHeight="1"/>
    <row r="32" spans="1: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sheetData>
  <mergeCells count="4">
    <mergeCell ref="A2:D2"/>
    <mergeCell ref="A3:D3"/>
    <mergeCell ref="A29:D29"/>
    <mergeCell ref="A4:D4"/>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C40"/>
  <sheetViews>
    <sheetView showRuler="0" workbookViewId="0">
      <selection activeCell="A2" sqref="A2:C2"/>
    </sheetView>
  </sheetViews>
  <sheetFormatPr baseColWidth="10" defaultColWidth="12.83203125" defaultRowHeight="13"/>
  <cols>
    <col min="1" max="1" width="110.6640625" customWidth="1"/>
    <col min="2" max="3" width="16.83203125" customWidth="1"/>
  </cols>
  <sheetData>
    <row r="1" spans="1:3" ht="14">
      <c r="A1" s="301" t="str">
        <f>HYPERLINK("#'Index'!A1","Back to index")</f>
        <v>Back to index</v>
      </c>
    </row>
    <row r="2" spans="1:3" ht="25.75" customHeight="1">
      <c r="A2" s="315" t="s">
        <v>63</v>
      </c>
      <c r="B2" s="316"/>
      <c r="C2" s="316"/>
    </row>
    <row r="3" spans="1:3" ht="39.25" customHeight="1">
      <c r="A3" s="317" t="s">
        <v>59</v>
      </c>
      <c r="B3" s="316"/>
      <c r="C3" s="316"/>
    </row>
    <row r="4" spans="1:3" ht="13" customHeight="1">
      <c r="A4" s="338"/>
      <c r="B4" s="338"/>
      <c r="C4" s="338"/>
    </row>
    <row r="5" spans="1:3" ht="34">
      <c r="A5" s="15" t="s">
        <v>467</v>
      </c>
      <c r="B5" s="39" t="s">
        <v>539</v>
      </c>
      <c r="C5" s="38" t="s">
        <v>540</v>
      </c>
    </row>
    <row r="6" spans="1:3" ht="17">
      <c r="A6" s="4" t="s">
        <v>902</v>
      </c>
      <c r="B6" s="292">
        <v>727</v>
      </c>
      <c r="C6" s="145">
        <v>523</v>
      </c>
    </row>
    <row r="7" spans="1:3" ht="17">
      <c r="A7" s="7" t="s">
        <v>903</v>
      </c>
      <c r="B7" s="216">
        <v>233</v>
      </c>
      <c r="C7" s="80">
        <v>212</v>
      </c>
    </row>
    <row r="8" spans="1:3" ht="17">
      <c r="A8" s="7" t="s">
        <v>904</v>
      </c>
      <c r="B8" s="216">
        <v>4</v>
      </c>
      <c r="C8" s="80">
        <v>16</v>
      </c>
    </row>
    <row r="9" spans="1:3" ht="17">
      <c r="A9" s="7" t="s">
        <v>905</v>
      </c>
      <c r="B9" s="216">
        <v>-5</v>
      </c>
      <c r="C9" s="80">
        <v>-8</v>
      </c>
    </row>
    <row r="10" spans="1:3" ht="17">
      <c r="A10" s="7" t="s">
        <v>906</v>
      </c>
      <c r="B10" s="216">
        <v>2</v>
      </c>
      <c r="C10" s="80">
        <v>-17</v>
      </c>
    </row>
    <row r="11" spans="1:3" ht="17">
      <c r="A11" s="7" t="s">
        <v>907</v>
      </c>
      <c r="B11" s="216">
        <v>-8</v>
      </c>
      <c r="C11" s="80">
        <v>0</v>
      </c>
    </row>
    <row r="12" spans="1:3" ht="17">
      <c r="A12" s="7" t="s">
        <v>908</v>
      </c>
      <c r="B12" s="216">
        <v>4</v>
      </c>
      <c r="C12" s="80">
        <v>5</v>
      </c>
    </row>
    <row r="13" spans="1:3" ht="17">
      <c r="A13" s="7" t="s">
        <v>909</v>
      </c>
      <c r="B13" s="216">
        <v>4</v>
      </c>
      <c r="C13" s="80">
        <v>-4</v>
      </c>
    </row>
    <row r="14" spans="1:3" ht="17">
      <c r="A14" s="7" t="s">
        <v>910</v>
      </c>
      <c r="B14" s="216">
        <v>19</v>
      </c>
      <c r="C14" s="80">
        <v>19</v>
      </c>
    </row>
    <row r="15" spans="1:3" ht="17">
      <c r="A15" s="7" t="s">
        <v>911</v>
      </c>
      <c r="B15" s="216">
        <v>-92</v>
      </c>
      <c r="C15" s="80">
        <v>-70</v>
      </c>
    </row>
    <row r="16" spans="1:3" ht="17">
      <c r="A16" s="9" t="s">
        <v>912</v>
      </c>
      <c r="B16" s="293">
        <v>889</v>
      </c>
      <c r="C16" s="132">
        <v>677</v>
      </c>
    </row>
    <row r="17" spans="1:3" ht="17">
      <c r="A17" s="7" t="s">
        <v>913</v>
      </c>
      <c r="B17" s="216">
        <v>-17</v>
      </c>
      <c r="C17" s="80">
        <v>-46</v>
      </c>
    </row>
    <row r="18" spans="1:3" ht="17">
      <c r="A18" s="7" t="s">
        <v>914</v>
      </c>
      <c r="B18" s="216">
        <v>-467</v>
      </c>
      <c r="C18" s="80">
        <v>-238</v>
      </c>
    </row>
    <row r="19" spans="1:3" ht="17">
      <c r="A19" s="7" t="s">
        <v>915</v>
      </c>
      <c r="B19" s="216">
        <v>11</v>
      </c>
      <c r="C19" s="80">
        <v>11</v>
      </c>
    </row>
    <row r="20" spans="1:3" ht="17">
      <c r="A20" s="7" t="s">
        <v>916</v>
      </c>
      <c r="B20" s="216">
        <v>260</v>
      </c>
      <c r="C20" s="80">
        <v>133</v>
      </c>
    </row>
    <row r="21" spans="1:3" ht="17">
      <c r="A21" s="9" t="s">
        <v>541</v>
      </c>
      <c r="B21" s="293">
        <v>677</v>
      </c>
      <c r="C21" s="132">
        <v>537</v>
      </c>
    </row>
    <row r="22" spans="1:3" ht="17">
      <c r="A22" s="7" t="s">
        <v>917</v>
      </c>
      <c r="B22" s="216">
        <v>-758</v>
      </c>
      <c r="C22" s="80">
        <v>-847</v>
      </c>
    </row>
    <row r="23" spans="1:3" ht="17">
      <c r="A23" s="7" t="s">
        <v>918</v>
      </c>
      <c r="B23" s="216">
        <v>-2</v>
      </c>
      <c r="C23" s="80">
        <v>0</v>
      </c>
    </row>
    <row r="24" spans="1:3" ht="17">
      <c r="A24" s="7" t="s">
        <v>919</v>
      </c>
      <c r="B24" s="216">
        <v>1</v>
      </c>
      <c r="C24" s="80">
        <v>2</v>
      </c>
    </row>
    <row r="25" spans="1:3" ht="17">
      <c r="A25" s="7" t="s">
        <v>920</v>
      </c>
      <c r="B25" s="216">
        <v>0</v>
      </c>
      <c r="C25" s="80">
        <v>0</v>
      </c>
    </row>
    <row r="26" spans="1:3" ht="32.5" customHeight="1">
      <c r="A26" s="7" t="s">
        <v>1099</v>
      </c>
      <c r="B26" s="216">
        <v>0</v>
      </c>
      <c r="C26" s="80">
        <v>97</v>
      </c>
    </row>
    <row r="27" spans="1:3" ht="34">
      <c r="A27" s="7" t="s">
        <v>921</v>
      </c>
      <c r="B27" s="216">
        <v>-11</v>
      </c>
      <c r="C27" s="80">
        <v>0</v>
      </c>
    </row>
    <row r="28" spans="1:3" ht="17">
      <c r="A28" s="7" t="s">
        <v>922</v>
      </c>
      <c r="B28" s="216">
        <v>1</v>
      </c>
      <c r="C28" s="80">
        <v>3</v>
      </c>
    </row>
    <row r="29" spans="1:3" ht="17">
      <c r="A29" s="7" t="s">
        <v>923</v>
      </c>
      <c r="B29" s="216">
        <v>15</v>
      </c>
      <c r="C29" s="80">
        <v>19</v>
      </c>
    </row>
    <row r="30" spans="1:3" ht="17">
      <c r="A30" s="9" t="s">
        <v>542</v>
      </c>
      <c r="B30" s="293">
        <v>-754</v>
      </c>
      <c r="C30" s="132">
        <v>-726</v>
      </c>
    </row>
    <row r="31" spans="1:3" ht="17">
      <c r="A31" s="7" t="s">
        <v>924</v>
      </c>
      <c r="B31" s="216">
        <v>330</v>
      </c>
      <c r="C31" s="80">
        <v>194</v>
      </c>
    </row>
    <row r="32" spans="1:3" ht="17">
      <c r="A32" s="7" t="s">
        <v>925</v>
      </c>
      <c r="B32" s="216">
        <v>-174</v>
      </c>
      <c r="C32" s="80">
        <v>-85</v>
      </c>
    </row>
    <row r="33" spans="1:3" ht="17">
      <c r="A33" s="7" t="s">
        <v>926</v>
      </c>
      <c r="B33" s="216">
        <v>-17</v>
      </c>
      <c r="C33" s="80">
        <v>-30</v>
      </c>
    </row>
    <row r="34" spans="1:3" ht="17">
      <c r="A34" s="7" t="s">
        <v>927</v>
      </c>
      <c r="B34" s="216">
        <v>-66</v>
      </c>
      <c r="C34" s="80">
        <v>-61</v>
      </c>
    </row>
    <row r="35" spans="1:3" ht="17">
      <c r="A35" s="9" t="s">
        <v>928</v>
      </c>
      <c r="B35" s="293">
        <v>74</v>
      </c>
      <c r="C35" s="132">
        <v>17</v>
      </c>
    </row>
    <row r="36" spans="1:3" ht="17">
      <c r="A36" s="7" t="s">
        <v>547</v>
      </c>
      <c r="B36" s="216">
        <v>-4</v>
      </c>
      <c r="C36" s="80">
        <v>-171</v>
      </c>
    </row>
    <row r="37" spans="1:3" ht="17">
      <c r="A37" s="7" t="s">
        <v>929</v>
      </c>
      <c r="B37" s="216">
        <v>1</v>
      </c>
      <c r="C37" s="80">
        <v>0</v>
      </c>
    </row>
    <row r="38" spans="1:3" ht="17">
      <c r="A38" s="7" t="s">
        <v>930</v>
      </c>
      <c r="B38" s="216">
        <v>322</v>
      </c>
      <c r="C38" s="80">
        <v>494</v>
      </c>
    </row>
    <row r="39" spans="1:3" ht="17">
      <c r="A39" s="10" t="s">
        <v>931</v>
      </c>
      <c r="B39" s="221">
        <v>319</v>
      </c>
      <c r="C39" s="83">
        <v>322</v>
      </c>
    </row>
    <row r="40" spans="1:3" ht="16">
      <c r="A40" s="365"/>
      <c r="B40" s="365"/>
      <c r="C40" s="365"/>
    </row>
  </sheetData>
  <mergeCells count="4">
    <mergeCell ref="A2:C2"/>
    <mergeCell ref="A3:C3"/>
    <mergeCell ref="A40:C40"/>
    <mergeCell ref="A4:C4"/>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M19"/>
  <sheetViews>
    <sheetView showRuler="0" workbookViewId="0">
      <selection activeCell="A2" sqref="A2:L2"/>
    </sheetView>
  </sheetViews>
  <sheetFormatPr baseColWidth="10" defaultColWidth="12.83203125" defaultRowHeight="13"/>
  <cols>
    <col min="1" max="1" width="33.83203125" customWidth="1"/>
    <col min="2" max="12" width="16.83203125" customWidth="1"/>
  </cols>
  <sheetData>
    <row r="1" spans="1:12" ht="14">
      <c r="A1" s="301" t="str">
        <f>HYPERLINK("#'Index'!A1","Back to index")</f>
        <v>Back to index</v>
      </c>
    </row>
    <row r="2" spans="1:12" ht="25.75" customHeight="1">
      <c r="A2" s="315" t="s">
        <v>63</v>
      </c>
      <c r="B2" s="316"/>
      <c r="C2" s="316"/>
      <c r="D2" s="316"/>
      <c r="E2" s="316"/>
      <c r="F2" s="316"/>
      <c r="G2" s="316"/>
      <c r="H2" s="316"/>
      <c r="I2" s="316"/>
      <c r="J2" s="316"/>
      <c r="K2" s="316"/>
      <c r="L2" s="316"/>
    </row>
    <row r="3" spans="1:12" ht="22.5" customHeight="1">
      <c r="A3" s="317" t="s">
        <v>60</v>
      </c>
      <c r="B3" s="316"/>
      <c r="C3" s="316"/>
      <c r="D3" s="316"/>
      <c r="E3" s="316"/>
      <c r="F3" s="316"/>
      <c r="G3" s="316"/>
      <c r="H3" s="316"/>
      <c r="I3" s="316"/>
      <c r="J3" s="316"/>
      <c r="K3" s="316"/>
      <c r="L3" s="316"/>
    </row>
    <row r="4" spans="1:12" ht="14" customHeight="1"/>
    <row r="5" spans="1:12" ht="29" customHeight="1">
      <c r="A5" s="124" t="s">
        <v>874</v>
      </c>
      <c r="B5" s="124" t="s">
        <v>874</v>
      </c>
      <c r="C5" s="124" t="s">
        <v>874</v>
      </c>
      <c r="D5" s="188" t="s">
        <v>874</v>
      </c>
      <c r="E5" s="100" t="s">
        <v>834</v>
      </c>
      <c r="F5" s="349" t="s">
        <v>886</v>
      </c>
      <c r="G5" s="349"/>
      <c r="H5" s="349"/>
      <c r="I5" s="349"/>
      <c r="J5" s="56"/>
    </row>
    <row r="6" spans="1:12" ht="100" customHeight="1">
      <c r="A6" s="15" t="s">
        <v>467</v>
      </c>
      <c r="B6" s="38" t="s">
        <v>932</v>
      </c>
      <c r="C6" s="38" t="s">
        <v>933</v>
      </c>
      <c r="D6" s="38" t="s">
        <v>934</v>
      </c>
      <c r="E6" s="38" t="s">
        <v>935</v>
      </c>
      <c r="F6" s="143" t="s">
        <v>936</v>
      </c>
      <c r="G6" s="143" t="s">
        <v>937</v>
      </c>
      <c r="H6" s="143" t="s">
        <v>938</v>
      </c>
      <c r="I6" s="143" t="s">
        <v>939</v>
      </c>
      <c r="J6" s="38" t="s">
        <v>940</v>
      </c>
      <c r="K6" s="38" t="s">
        <v>941</v>
      </c>
      <c r="L6" s="158" t="s">
        <v>942</v>
      </c>
    </row>
    <row r="7" spans="1:12" ht="17">
      <c r="A7" s="4" t="s">
        <v>943</v>
      </c>
      <c r="B7" s="145">
        <v>115</v>
      </c>
      <c r="C7" s="145">
        <v>343</v>
      </c>
      <c r="D7" s="145">
        <v>-60</v>
      </c>
      <c r="E7" s="145">
        <v>3823</v>
      </c>
      <c r="F7" s="145">
        <v>4</v>
      </c>
      <c r="G7" s="145">
        <v>0</v>
      </c>
      <c r="H7" s="145">
        <v>24</v>
      </c>
      <c r="I7" s="145">
        <v>-5</v>
      </c>
      <c r="J7" s="145">
        <v>4244</v>
      </c>
      <c r="K7" s="145">
        <v>1</v>
      </c>
      <c r="L7" s="145">
        <v>4245</v>
      </c>
    </row>
    <row r="8" spans="1:12" ht="17">
      <c r="A8" s="7" t="s">
        <v>544</v>
      </c>
      <c r="B8" s="80">
        <v>0</v>
      </c>
      <c r="C8" s="80">
        <v>0</v>
      </c>
      <c r="D8" s="80">
        <v>0</v>
      </c>
      <c r="E8" s="80">
        <v>-61</v>
      </c>
      <c r="F8" s="80">
        <v>0</v>
      </c>
      <c r="G8" s="80">
        <v>0</v>
      </c>
      <c r="H8" s="80">
        <v>0</v>
      </c>
      <c r="I8" s="80">
        <v>0</v>
      </c>
      <c r="J8" s="80">
        <v>-61</v>
      </c>
      <c r="K8" s="80">
        <v>0</v>
      </c>
      <c r="L8" s="80">
        <v>-61</v>
      </c>
    </row>
    <row r="9" spans="1:12" ht="17">
      <c r="A9" s="7" t="s">
        <v>858</v>
      </c>
      <c r="B9" s="80">
        <v>0</v>
      </c>
      <c r="C9" s="80">
        <v>0</v>
      </c>
      <c r="D9" s="80">
        <v>0</v>
      </c>
      <c r="E9" s="80">
        <v>392</v>
      </c>
      <c r="F9" s="80">
        <v>7</v>
      </c>
      <c r="G9" s="80">
        <v>0</v>
      </c>
      <c r="H9" s="80">
        <v>-26</v>
      </c>
      <c r="I9" s="80">
        <v>-1</v>
      </c>
      <c r="J9" s="80">
        <v>372</v>
      </c>
      <c r="K9" s="80">
        <v>0</v>
      </c>
      <c r="L9" s="80">
        <v>372</v>
      </c>
    </row>
    <row r="10" spans="1:12" ht="17">
      <c r="A10" s="81" t="s">
        <v>944</v>
      </c>
      <c r="B10" s="80">
        <v>0</v>
      </c>
      <c r="C10" s="80">
        <v>0</v>
      </c>
      <c r="D10" s="80">
        <v>0</v>
      </c>
      <c r="E10" s="80">
        <v>416</v>
      </c>
      <c r="F10" s="80">
        <v>0</v>
      </c>
      <c r="G10" s="80">
        <v>0</v>
      </c>
      <c r="H10" s="80">
        <v>0</v>
      </c>
      <c r="I10" s="80">
        <v>0</v>
      </c>
      <c r="J10" s="80">
        <v>416</v>
      </c>
      <c r="K10" s="80">
        <v>0</v>
      </c>
      <c r="L10" s="80">
        <v>416</v>
      </c>
    </row>
    <row r="11" spans="1:12" ht="17">
      <c r="A11" s="81" t="s">
        <v>945</v>
      </c>
      <c r="B11" s="80">
        <v>0</v>
      </c>
      <c r="C11" s="80">
        <v>0</v>
      </c>
      <c r="D11" s="80">
        <v>0</v>
      </c>
      <c r="E11" s="80">
        <v>-24</v>
      </c>
      <c r="F11" s="80">
        <v>7</v>
      </c>
      <c r="G11" s="80">
        <v>0</v>
      </c>
      <c r="H11" s="80">
        <v>-26</v>
      </c>
      <c r="I11" s="80">
        <v>-1</v>
      </c>
      <c r="J11" s="80">
        <v>-44</v>
      </c>
      <c r="K11" s="80">
        <v>0</v>
      </c>
      <c r="L11" s="80">
        <v>-44</v>
      </c>
    </row>
    <row r="12" spans="1:12" ht="17">
      <c r="A12" s="9" t="s">
        <v>946</v>
      </c>
      <c r="B12" s="132">
        <v>115</v>
      </c>
      <c r="C12" s="132">
        <v>343</v>
      </c>
      <c r="D12" s="132">
        <v>-60</v>
      </c>
      <c r="E12" s="132">
        <v>4154</v>
      </c>
      <c r="F12" s="132">
        <v>11</v>
      </c>
      <c r="G12" s="132">
        <v>0</v>
      </c>
      <c r="H12" s="132">
        <v>-2</v>
      </c>
      <c r="I12" s="132">
        <v>-5</v>
      </c>
      <c r="J12" s="132">
        <v>4555</v>
      </c>
      <c r="K12" s="132">
        <v>1</v>
      </c>
      <c r="L12" s="132">
        <v>4556</v>
      </c>
    </row>
    <row r="13" spans="1:12" ht="17">
      <c r="A13" s="9" t="s">
        <v>947</v>
      </c>
      <c r="B13" s="132">
        <v>115</v>
      </c>
      <c r="C13" s="132">
        <v>343</v>
      </c>
      <c r="D13" s="132">
        <v>-60</v>
      </c>
      <c r="E13" s="132">
        <v>4154</v>
      </c>
      <c r="F13" s="132">
        <v>11</v>
      </c>
      <c r="G13" s="132">
        <v>0</v>
      </c>
      <c r="H13" s="132">
        <v>-2</v>
      </c>
      <c r="I13" s="132">
        <v>-5</v>
      </c>
      <c r="J13" s="132">
        <v>4555</v>
      </c>
      <c r="K13" s="132">
        <v>1</v>
      </c>
      <c r="L13" s="132">
        <v>4556</v>
      </c>
    </row>
    <row r="14" spans="1:12" ht="17">
      <c r="A14" s="7" t="s">
        <v>544</v>
      </c>
      <c r="B14" s="80">
        <v>0</v>
      </c>
      <c r="C14" s="80">
        <v>0</v>
      </c>
      <c r="D14" s="80">
        <v>0</v>
      </c>
      <c r="E14" s="80">
        <v>-65</v>
      </c>
      <c r="F14" s="80">
        <v>0</v>
      </c>
      <c r="G14" s="80">
        <v>0</v>
      </c>
      <c r="H14" s="80">
        <v>0</v>
      </c>
      <c r="I14" s="80">
        <v>0</v>
      </c>
      <c r="J14" s="80">
        <v>-65</v>
      </c>
      <c r="K14" s="80">
        <v>0</v>
      </c>
      <c r="L14" s="80">
        <v>-66</v>
      </c>
    </row>
    <row r="15" spans="1:12" ht="17">
      <c r="A15" s="7" t="s">
        <v>858</v>
      </c>
      <c r="B15" s="80">
        <v>0</v>
      </c>
      <c r="C15" s="80">
        <v>0</v>
      </c>
      <c r="D15" s="80">
        <v>0</v>
      </c>
      <c r="E15" s="80">
        <v>545</v>
      </c>
      <c r="F15" s="80">
        <v>2</v>
      </c>
      <c r="G15" s="80">
        <v>0</v>
      </c>
      <c r="H15" s="80">
        <v>-24</v>
      </c>
      <c r="I15" s="80">
        <v>1</v>
      </c>
      <c r="J15" s="80">
        <v>524</v>
      </c>
      <c r="K15" s="80">
        <v>0</v>
      </c>
      <c r="L15" s="80">
        <v>524</v>
      </c>
    </row>
    <row r="16" spans="1:12" ht="17">
      <c r="A16" s="81" t="s">
        <v>944</v>
      </c>
      <c r="B16" s="80">
        <v>0</v>
      </c>
      <c r="C16" s="80">
        <v>0</v>
      </c>
      <c r="D16" s="80">
        <v>0</v>
      </c>
      <c r="E16" s="80">
        <v>539</v>
      </c>
      <c r="F16" s="80">
        <v>0</v>
      </c>
      <c r="G16" s="80">
        <v>0</v>
      </c>
      <c r="H16" s="80">
        <v>0</v>
      </c>
      <c r="I16" s="80">
        <v>0</v>
      </c>
      <c r="J16" s="80">
        <v>539</v>
      </c>
      <c r="K16" s="80">
        <v>0</v>
      </c>
      <c r="L16" s="80">
        <v>539</v>
      </c>
    </row>
    <row r="17" spans="1:13" ht="17">
      <c r="A17" s="81" t="s">
        <v>945</v>
      </c>
      <c r="B17" s="80">
        <v>0</v>
      </c>
      <c r="C17" s="80">
        <v>0</v>
      </c>
      <c r="D17" s="80">
        <v>0</v>
      </c>
      <c r="E17" s="80">
        <v>6</v>
      </c>
      <c r="F17" s="80">
        <v>2</v>
      </c>
      <c r="G17" s="80">
        <v>0</v>
      </c>
      <c r="H17" s="80">
        <v>-24</v>
      </c>
      <c r="I17" s="80">
        <v>1</v>
      </c>
      <c r="J17" s="80">
        <v>-15</v>
      </c>
      <c r="K17" s="80">
        <v>0</v>
      </c>
      <c r="L17" s="80">
        <v>-15</v>
      </c>
    </row>
    <row r="18" spans="1:13" ht="17">
      <c r="A18" s="298" t="s">
        <v>948</v>
      </c>
      <c r="B18" s="299">
        <v>115</v>
      </c>
      <c r="C18" s="299">
        <v>343</v>
      </c>
      <c r="D18" s="299">
        <v>-60</v>
      </c>
      <c r="E18" s="299">
        <v>4633</v>
      </c>
      <c r="F18" s="299">
        <v>13</v>
      </c>
      <c r="G18" s="299">
        <v>0</v>
      </c>
      <c r="H18" s="299">
        <v>-26</v>
      </c>
      <c r="I18" s="299">
        <v>-5</v>
      </c>
      <c r="J18" s="299">
        <v>5013</v>
      </c>
      <c r="K18" s="299">
        <v>1</v>
      </c>
      <c r="L18" s="299">
        <v>5015</v>
      </c>
    </row>
    <row r="19" spans="1:13" ht="16">
      <c r="A19" s="397"/>
      <c r="B19" s="397"/>
      <c r="C19" s="397"/>
      <c r="D19" s="397"/>
      <c r="E19" s="397"/>
      <c r="F19" s="397"/>
      <c r="G19" s="397"/>
      <c r="H19" s="397"/>
      <c r="I19" s="397"/>
      <c r="J19" s="397"/>
      <c r="K19" s="397"/>
      <c r="L19" s="200"/>
      <c r="M19" s="1"/>
    </row>
  </sheetData>
  <mergeCells count="4">
    <mergeCell ref="F5:I5"/>
    <mergeCell ref="A3:L3"/>
    <mergeCell ref="A2:L2"/>
    <mergeCell ref="A19:K19"/>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C10"/>
  <sheetViews>
    <sheetView showRuler="0" workbookViewId="0">
      <selection activeCell="A2" sqref="A2:B2"/>
    </sheetView>
  </sheetViews>
  <sheetFormatPr baseColWidth="10" defaultColWidth="12.83203125" defaultRowHeight="13"/>
  <cols>
    <col min="1" max="1" width="28.6640625" customWidth="1"/>
    <col min="2" max="2" width="71.1640625" customWidth="1"/>
  </cols>
  <sheetData>
    <row r="1" spans="1:3" ht="14">
      <c r="A1" s="301" t="str">
        <f>HYPERLINK("#'Index'!A1","Back to index")</f>
        <v>Back to index</v>
      </c>
    </row>
    <row r="2" spans="1:3" ht="25.75" customHeight="1">
      <c r="A2" s="315" t="s">
        <v>63</v>
      </c>
      <c r="B2" s="316"/>
    </row>
    <row r="3" spans="1:3" ht="22.5" customHeight="1">
      <c r="A3" s="317" t="s">
        <v>61</v>
      </c>
      <c r="B3" s="316"/>
      <c r="C3" s="37"/>
    </row>
    <row r="4" spans="1:3" ht="14" thickBot="1">
      <c r="A4" s="338"/>
      <c r="B4" s="338"/>
    </row>
    <row r="5" spans="1:3" ht="17">
      <c r="A5" s="6" t="s">
        <v>949</v>
      </c>
      <c r="B5" s="6" t="s">
        <v>950</v>
      </c>
    </row>
    <row r="6" spans="1:3" ht="17">
      <c r="A6" s="7" t="s">
        <v>951</v>
      </c>
      <c r="B6" s="7" t="s">
        <v>952</v>
      </c>
    </row>
    <row r="7" spans="1:3" ht="17">
      <c r="A7" s="7" t="s">
        <v>953</v>
      </c>
      <c r="B7" s="7" t="s">
        <v>954</v>
      </c>
    </row>
    <row r="8" spans="1:3" ht="17">
      <c r="A8" s="7" t="s">
        <v>955</v>
      </c>
      <c r="B8" s="7" t="s">
        <v>956</v>
      </c>
    </row>
    <row r="9" spans="1:3" ht="17">
      <c r="A9" s="11" t="s">
        <v>957</v>
      </c>
      <c r="B9" s="11" t="s">
        <v>958</v>
      </c>
    </row>
    <row r="10" spans="1:3">
      <c r="A10" s="55"/>
      <c r="B10" s="55"/>
    </row>
  </sheetData>
  <mergeCells count="3">
    <mergeCell ref="A2:B2"/>
    <mergeCell ref="A3:B3"/>
    <mergeCell ref="A4:B4"/>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G28"/>
  <sheetViews>
    <sheetView showRuler="0" zoomScaleNormal="100" workbookViewId="0"/>
  </sheetViews>
  <sheetFormatPr baseColWidth="10" defaultColWidth="12.83203125" defaultRowHeight="13"/>
  <cols>
    <col min="1" max="1" width="56.5" customWidth="1"/>
    <col min="2" max="2" width="7.5" customWidth="1"/>
    <col min="3" max="7" width="16.83203125" customWidth="1"/>
  </cols>
  <sheetData>
    <row r="1" spans="1:7" ht="14">
      <c r="A1" s="301" t="str">
        <f>HYPERLINK("#'Index'!A1","Back to index")</f>
        <v>Back to index</v>
      </c>
    </row>
    <row r="2" spans="1:7" ht="25.75" customHeight="1">
      <c r="A2" s="315" t="s">
        <v>63</v>
      </c>
      <c r="B2" s="316"/>
      <c r="C2" s="316"/>
      <c r="D2" s="316"/>
      <c r="E2" s="316"/>
      <c r="F2" s="316"/>
      <c r="G2" s="316"/>
    </row>
    <row r="3" spans="1:7" ht="22.5" customHeight="1">
      <c r="A3" s="317" t="s">
        <v>62</v>
      </c>
      <c r="B3" s="316"/>
      <c r="C3" s="316"/>
      <c r="D3" s="316"/>
      <c r="E3" s="316"/>
      <c r="F3" s="316"/>
      <c r="G3" s="316"/>
    </row>
    <row r="4" spans="1:7" ht="17.5" customHeight="1">
      <c r="A4" s="316"/>
      <c r="B4" s="316"/>
      <c r="C4" s="316"/>
      <c r="D4" s="316"/>
      <c r="E4" s="316"/>
      <c r="F4" s="316"/>
      <c r="G4" s="316"/>
    </row>
    <row r="5" spans="1:7" ht="17">
      <c r="A5" s="95" t="s">
        <v>959</v>
      </c>
      <c r="B5" s="95"/>
      <c r="C5" s="39" t="s">
        <v>64</v>
      </c>
      <c r="D5" s="38" t="s">
        <v>246</v>
      </c>
      <c r="E5" s="38" t="s">
        <v>319</v>
      </c>
      <c r="F5" s="38" t="s">
        <v>320</v>
      </c>
      <c r="G5" s="38" t="s">
        <v>321</v>
      </c>
    </row>
    <row r="6" spans="1:7" ht="17">
      <c r="A6" s="6" t="s">
        <v>491</v>
      </c>
      <c r="B6" s="5" t="s">
        <v>960</v>
      </c>
      <c r="C6" s="215">
        <v>18171</v>
      </c>
      <c r="D6" s="79">
        <v>17138</v>
      </c>
      <c r="E6" s="79">
        <v>17064</v>
      </c>
      <c r="F6" s="79">
        <v>18521</v>
      </c>
      <c r="G6" s="79">
        <v>16300</v>
      </c>
    </row>
    <row r="7" spans="1:7" ht="17">
      <c r="A7" s="7" t="s">
        <v>961</v>
      </c>
      <c r="B7" s="8" t="s">
        <v>960</v>
      </c>
      <c r="C7" s="216">
        <v>965</v>
      </c>
      <c r="D7" s="80">
        <v>731</v>
      </c>
      <c r="E7" s="80">
        <v>379</v>
      </c>
      <c r="F7" s="80">
        <v>1148</v>
      </c>
      <c r="G7" s="80">
        <v>1049</v>
      </c>
    </row>
    <row r="8" spans="1:7" ht="17">
      <c r="A8" s="7" t="s">
        <v>962</v>
      </c>
      <c r="B8" s="8" t="s">
        <v>960</v>
      </c>
      <c r="C8" s="216">
        <v>589</v>
      </c>
      <c r="D8" s="80">
        <v>622</v>
      </c>
      <c r="E8" s="80">
        <v>557</v>
      </c>
      <c r="F8" s="80">
        <v>753</v>
      </c>
      <c r="G8" s="80">
        <v>593</v>
      </c>
    </row>
    <row r="9" spans="1:7" ht="17">
      <c r="A9" s="7" t="s">
        <v>963</v>
      </c>
      <c r="B9" s="8" t="s">
        <v>960</v>
      </c>
      <c r="C9" s="216">
        <v>731</v>
      </c>
      <c r="D9" s="80">
        <v>519</v>
      </c>
      <c r="E9" s="80">
        <v>160</v>
      </c>
      <c r="F9" s="80">
        <v>928</v>
      </c>
      <c r="G9" s="80">
        <v>830</v>
      </c>
    </row>
    <row r="10" spans="1:7" ht="17">
      <c r="A10" s="7" t="s">
        <v>964</v>
      </c>
      <c r="B10" s="8" t="s">
        <v>960</v>
      </c>
      <c r="C10" s="216">
        <v>358</v>
      </c>
      <c r="D10" s="80">
        <v>411</v>
      </c>
      <c r="E10" s="80">
        <v>342</v>
      </c>
      <c r="F10" s="80">
        <v>533</v>
      </c>
      <c r="G10" s="80">
        <v>394</v>
      </c>
    </row>
    <row r="11" spans="1:7" ht="17">
      <c r="A11" s="7" t="s">
        <v>965</v>
      </c>
      <c r="B11" s="8" t="s">
        <v>960</v>
      </c>
      <c r="C11" s="216">
        <v>727</v>
      </c>
      <c r="D11" s="80">
        <v>523</v>
      </c>
      <c r="E11" s="80">
        <v>165</v>
      </c>
      <c r="F11" s="80">
        <v>935</v>
      </c>
      <c r="G11" s="80">
        <v>825</v>
      </c>
    </row>
    <row r="12" spans="1:7" ht="17">
      <c r="A12" s="7" t="s">
        <v>966</v>
      </c>
      <c r="B12" s="8" t="s">
        <v>960</v>
      </c>
      <c r="C12" s="216">
        <v>355</v>
      </c>
      <c r="D12" s="80">
        <v>413</v>
      </c>
      <c r="E12" s="80">
        <v>349</v>
      </c>
      <c r="F12" s="80">
        <v>532</v>
      </c>
      <c r="G12" s="80">
        <v>381</v>
      </c>
    </row>
    <row r="13" spans="1:7" ht="17">
      <c r="A13" s="7" t="s">
        <v>507</v>
      </c>
      <c r="B13" s="8" t="s">
        <v>960</v>
      </c>
      <c r="C13" s="216">
        <v>539</v>
      </c>
      <c r="D13" s="80">
        <v>416</v>
      </c>
      <c r="E13" s="80">
        <v>141</v>
      </c>
      <c r="F13" s="80">
        <v>715</v>
      </c>
      <c r="G13" s="80">
        <v>613</v>
      </c>
    </row>
    <row r="14" spans="1:7" ht="17">
      <c r="A14" s="7" t="s">
        <v>967</v>
      </c>
      <c r="B14" s="8" t="s">
        <v>960</v>
      </c>
      <c r="C14" s="216">
        <v>261</v>
      </c>
      <c r="D14" s="80">
        <v>335</v>
      </c>
      <c r="E14" s="80">
        <v>268</v>
      </c>
      <c r="F14" s="80">
        <v>433</v>
      </c>
      <c r="G14" s="80">
        <v>284</v>
      </c>
    </row>
    <row r="15" spans="1:7" ht="17">
      <c r="A15" s="7" t="s">
        <v>968</v>
      </c>
      <c r="B15" s="8" t="s">
        <v>960</v>
      </c>
      <c r="C15" s="216">
        <v>677</v>
      </c>
      <c r="D15" s="80">
        <v>537</v>
      </c>
      <c r="E15" s="80">
        <v>573</v>
      </c>
      <c r="F15" s="80">
        <v>295</v>
      </c>
      <c r="G15" s="80">
        <v>812</v>
      </c>
    </row>
    <row r="16" spans="1:7" ht="17">
      <c r="A16" s="7" t="s">
        <v>556</v>
      </c>
      <c r="B16" s="8" t="s">
        <v>960</v>
      </c>
      <c r="C16" s="216">
        <v>771</v>
      </c>
      <c r="D16" s="80">
        <v>859</v>
      </c>
      <c r="E16" s="80">
        <v>633</v>
      </c>
      <c r="F16" s="80">
        <v>362</v>
      </c>
      <c r="G16" s="80">
        <v>256</v>
      </c>
    </row>
    <row r="17" spans="1:7" ht="17">
      <c r="A17" s="7" t="s">
        <v>969</v>
      </c>
      <c r="B17" s="8" t="s">
        <v>612</v>
      </c>
      <c r="C17" s="267" t="s">
        <v>1100</v>
      </c>
      <c r="D17" s="232" t="s">
        <v>1101</v>
      </c>
      <c r="E17" s="232" t="s">
        <v>1102</v>
      </c>
      <c r="F17" s="232" t="s">
        <v>1103</v>
      </c>
      <c r="G17" s="232" t="s">
        <v>1104</v>
      </c>
    </row>
    <row r="18" spans="1:7" ht="17">
      <c r="A18" s="9" t="s">
        <v>970</v>
      </c>
      <c r="B18" s="103"/>
      <c r="C18" s="217"/>
      <c r="D18" s="8"/>
      <c r="E18" s="8"/>
      <c r="F18" s="8"/>
      <c r="G18" s="8"/>
    </row>
    <row r="19" spans="1:7" ht="17">
      <c r="A19" s="7" t="s">
        <v>971</v>
      </c>
      <c r="B19" s="8" t="s">
        <v>960</v>
      </c>
      <c r="C19" s="216">
        <v>8838</v>
      </c>
      <c r="D19" s="80">
        <v>7845</v>
      </c>
      <c r="E19" s="80">
        <v>7260</v>
      </c>
      <c r="F19" s="80">
        <v>7447</v>
      </c>
      <c r="G19" s="80">
        <v>6613</v>
      </c>
    </row>
    <row r="20" spans="1:7" ht="17">
      <c r="A20" s="7" t="s">
        <v>520</v>
      </c>
      <c r="B20" s="8" t="s">
        <v>960</v>
      </c>
      <c r="C20" s="216">
        <v>3527</v>
      </c>
      <c r="D20" s="80">
        <v>3051</v>
      </c>
      <c r="E20" s="80">
        <v>2470</v>
      </c>
      <c r="F20" s="80">
        <v>2069</v>
      </c>
      <c r="G20" s="80">
        <v>1958</v>
      </c>
    </row>
    <row r="21" spans="1:7" ht="17">
      <c r="A21" s="7" t="s">
        <v>554</v>
      </c>
      <c r="B21" s="8" t="s">
        <v>960</v>
      </c>
      <c r="C21" s="216">
        <v>233</v>
      </c>
      <c r="D21" s="80">
        <v>212</v>
      </c>
      <c r="E21" s="80">
        <v>219</v>
      </c>
      <c r="F21" s="80">
        <v>220</v>
      </c>
      <c r="G21" s="80">
        <v>219</v>
      </c>
    </row>
    <row r="22" spans="1:7" ht="17">
      <c r="A22" s="7" t="s">
        <v>524</v>
      </c>
      <c r="B22" s="8" t="s">
        <v>960</v>
      </c>
      <c r="C22" s="216">
        <v>5015</v>
      </c>
      <c r="D22" s="80">
        <v>4556</v>
      </c>
      <c r="E22" s="80">
        <v>4245</v>
      </c>
      <c r="F22" s="80">
        <v>4258</v>
      </c>
      <c r="G22" s="80">
        <v>3443</v>
      </c>
    </row>
    <row r="23" spans="1:7" ht="17">
      <c r="A23" s="191" t="s">
        <v>972</v>
      </c>
      <c r="B23" s="92"/>
      <c r="C23" s="300"/>
      <c r="D23" s="85"/>
      <c r="E23" s="85"/>
      <c r="F23" s="85"/>
      <c r="G23" s="85"/>
    </row>
    <row r="24" spans="1:7" ht="17">
      <c r="A24" s="7" t="s">
        <v>973</v>
      </c>
      <c r="B24" s="8" t="s">
        <v>960</v>
      </c>
      <c r="C24" s="216">
        <v>4774</v>
      </c>
      <c r="D24" s="80">
        <v>2960</v>
      </c>
      <c r="E24" s="80">
        <v>3153</v>
      </c>
      <c r="F24" s="80">
        <v>2427</v>
      </c>
      <c r="G24" s="80">
        <v>2939</v>
      </c>
    </row>
    <row r="25" spans="1:7" ht="17">
      <c r="A25" s="7" t="s">
        <v>974</v>
      </c>
      <c r="B25" s="8" t="s">
        <v>975</v>
      </c>
      <c r="C25" s="294">
        <v>12.34</v>
      </c>
      <c r="D25" s="197">
        <v>9.5299999999999994</v>
      </c>
      <c r="E25" s="197">
        <v>3.23</v>
      </c>
      <c r="F25" s="197">
        <v>16.37</v>
      </c>
      <c r="G25" s="197">
        <v>14.03</v>
      </c>
    </row>
    <row r="26" spans="1:7" ht="17">
      <c r="A26" s="7" t="s">
        <v>330</v>
      </c>
      <c r="B26" s="8" t="s">
        <v>975</v>
      </c>
      <c r="C26" s="294">
        <v>5.97</v>
      </c>
      <c r="D26" s="197">
        <v>7.66</v>
      </c>
      <c r="E26" s="197">
        <v>6.13</v>
      </c>
      <c r="F26" s="197">
        <v>9.91</v>
      </c>
      <c r="G26" s="197">
        <v>6.51</v>
      </c>
    </row>
    <row r="27" spans="1:7" ht="17">
      <c r="A27" s="11" t="s">
        <v>976</v>
      </c>
      <c r="B27" s="57" t="s">
        <v>975</v>
      </c>
      <c r="C27" s="295">
        <v>1.6</v>
      </c>
      <c r="D27" s="198">
        <v>1.5</v>
      </c>
      <c r="E27" s="198">
        <v>1.4</v>
      </c>
      <c r="F27" s="198">
        <v>1.8</v>
      </c>
      <c r="G27" s="198">
        <v>1.6</v>
      </c>
    </row>
    <row r="28" spans="1:7" ht="29.25" customHeight="1">
      <c r="A28" s="342" t="s">
        <v>977</v>
      </c>
      <c r="B28" s="342"/>
      <c r="C28" s="342"/>
      <c r="D28" s="342"/>
      <c r="E28" s="342"/>
      <c r="F28" s="342"/>
      <c r="G28" s="342"/>
    </row>
  </sheetData>
  <mergeCells count="4">
    <mergeCell ref="A2:G2"/>
    <mergeCell ref="A3:G3"/>
    <mergeCell ref="A4:G4"/>
    <mergeCell ref="A28:G2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1"/>
  <sheetViews>
    <sheetView showRuler="0" workbookViewId="0">
      <selection activeCell="A2" sqref="A2:D2"/>
    </sheetView>
  </sheetViews>
  <sheetFormatPr baseColWidth="10" defaultColWidth="12.83203125" defaultRowHeight="13"/>
  <cols>
    <col min="1" max="1" width="20.5" customWidth="1"/>
    <col min="2" max="2" width="60.5" customWidth="1"/>
    <col min="3" max="3" width="13" customWidth="1"/>
    <col min="4" max="4" width="18.83203125" customWidth="1"/>
  </cols>
  <sheetData>
    <row r="1" spans="1:4" ht="14">
      <c r="A1" s="301" t="str">
        <f>HYPERLINK("#'Index'!A1","Back to index")</f>
        <v>Back to index</v>
      </c>
    </row>
    <row r="2" spans="1:4" ht="25.75" customHeight="1">
      <c r="A2" s="315" t="s">
        <v>63</v>
      </c>
      <c r="B2" s="315"/>
      <c r="C2" s="315"/>
      <c r="D2" s="315"/>
    </row>
    <row r="3" spans="1:4" ht="22.5" customHeight="1">
      <c r="A3" s="317" t="s">
        <v>7</v>
      </c>
      <c r="B3" s="316"/>
      <c r="C3" s="316"/>
      <c r="D3" s="37"/>
    </row>
    <row r="4" spans="1:4">
      <c r="A4" s="338"/>
      <c r="B4" s="338"/>
      <c r="C4" s="338"/>
      <c r="D4" s="338"/>
    </row>
    <row r="5" spans="1:4" ht="18" thickBot="1">
      <c r="A5" s="15" t="s">
        <v>205</v>
      </c>
      <c r="B5" s="15" t="s">
        <v>206</v>
      </c>
      <c r="C5" s="39" t="s">
        <v>207</v>
      </c>
      <c r="D5" s="39" t="s">
        <v>208</v>
      </c>
    </row>
    <row r="6" spans="1:4" ht="16">
      <c r="A6" s="332" t="s">
        <v>215</v>
      </c>
      <c r="B6" s="332"/>
      <c r="C6" s="45"/>
      <c r="D6" s="302">
        <v>0</v>
      </c>
    </row>
    <row r="7" spans="1:4" ht="51">
      <c r="A7" s="17" t="s">
        <v>210</v>
      </c>
      <c r="B7" s="7" t="s">
        <v>994</v>
      </c>
      <c r="C7" s="335" t="s">
        <v>216</v>
      </c>
      <c r="D7" s="335"/>
    </row>
    <row r="8" spans="1:4" ht="149" customHeight="1">
      <c r="A8" s="17" t="s">
        <v>89</v>
      </c>
      <c r="B8" s="7" t="s">
        <v>995</v>
      </c>
      <c r="C8" s="336"/>
      <c r="D8" s="336"/>
    </row>
    <row r="9" spans="1:4" ht="55" customHeight="1" thickBot="1">
      <c r="A9" s="204">
        <v>1.5</v>
      </c>
      <c r="B9" s="11" t="s">
        <v>996</v>
      </c>
      <c r="C9" s="337"/>
      <c r="D9" s="337"/>
    </row>
    <row r="10" spans="1:4">
      <c r="A10" s="55"/>
      <c r="B10" s="55"/>
      <c r="C10" s="55"/>
      <c r="D10" s="55"/>
    </row>
    <row r="11" spans="1:4">
      <c r="A11" s="1"/>
      <c r="B11" s="1"/>
    </row>
  </sheetData>
  <mergeCells count="5">
    <mergeCell ref="A3:C3"/>
    <mergeCell ref="A6:B6"/>
    <mergeCell ref="C7:D9"/>
    <mergeCell ref="A4:D4"/>
    <mergeCell ref="A2:D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1"/>
  <sheetViews>
    <sheetView showRuler="0" workbookViewId="0">
      <selection activeCell="A2" sqref="A2:J2"/>
    </sheetView>
  </sheetViews>
  <sheetFormatPr baseColWidth="10" defaultColWidth="12.83203125" defaultRowHeight="13"/>
  <cols>
    <col min="1" max="1" width="42.83203125" customWidth="1"/>
    <col min="2" max="9" width="18.1640625" customWidth="1"/>
    <col min="10" max="10" width="23.6640625" customWidth="1"/>
  </cols>
  <sheetData>
    <row r="1" spans="1:10" ht="14">
      <c r="A1" s="301" t="str">
        <f>HYPERLINK("#'Index'!A1","Back to index")</f>
        <v>Back to index</v>
      </c>
    </row>
    <row r="2" spans="1:10" ht="25.75" customHeight="1">
      <c r="A2" s="315" t="s">
        <v>63</v>
      </c>
      <c r="B2" s="316"/>
      <c r="C2" s="316"/>
      <c r="D2" s="316"/>
      <c r="E2" s="316"/>
      <c r="F2" s="316"/>
      <c r="G2" s="316"/>
      <c r="H2" s="316"/>
      <c r="I2" s="316"/>
      <c r="J2" s="316"/>
    </row>
    <row r="3" spans="1:10" ht="22.5" customHeight="1">
      <c r="A3" s="317" t="s">
        <v>8</v>
      </c>
      <c r="B3" s="316"/>
      <c r="C3" s="316"/>
      <c r="D3" s="316"/>
      <c r="E3" s="316"/>
      <c r="F3" s="316"/>
      <c r="G3" s="316"/>
      <c r="H3" s="316"/>
      <c r="I3" s="316"/>
      <c r="J3" s="316"/>
    </row>
    <row r="4" spans="1:10">
      <c r="A4" s="338"/>
      <c r="B4" s="338"/>
      <c r="C4" s="338"/>
      <c r="D4" s="338"/>
      <c r="E4" s="338"/>
      <c r="F4" s="338"/>
      <c r="G4" s="338"/>
      <c r="H4" s="338"/>
      <c r="I4" s="338"/>
      <c r="J4" s="338"/>
    </row>
    <row r="5" spans="1:10" ht="17" thickBot="1">
      <c r="A5" s="347" t="s">
        <v>217</v>
      </c>
      <c r="C5" s="349" t="s">
        <v>218</v>
      </c>
      <c r="D5" s="349"/>
      <c r="E5" s="349" t="s">
        <v>219</v>
      </c>
      <c r="F5" s="349"/>
      <c r="G5" s="349" t="s">
        <v>220</v>
      </c>
      <c r="H5" s="349"/>
      <c r="I5" s="205"/>
      <c r="J5" s="205"/>
    </row>
    <row r="6" spans="1:10" ht="52" customHeight="1" thickBot="1">
      <c r="A6" s="348"/>
      <c r="B6" s="38" t="s">
        <v>221</v>
      </c>
      <c r="C6" s="38" t="s">
        <v>222</v>
      </c>
      <c r="D6" s="39" t="s">
        <v>223</v>
      </c>
      <c r="E6" s="38" t="s">
        <v>222</v>
      </c>
      <c r="F6" s="39" t="s">
        <v>223</v>
      </c>
      <c r="G6" s="38" t="s">
        <v>222</v>
      </c>
      <c r="H6" s="39" t="s">
        <v>223</v>
      </c>
      <c r="I6" s="39" t="s">
        <v>224</v>
      </c>
      <c r="J6" s="39" t="s">
        <v>225</v>
      </c>
    </row>
    <row r="7" spans="1:10" ht="17">
      <c r="A7" s="6" t="s">
        <v>226</v>
      </c>
      <c r="B7" s="58">
        <v>440000</v>
      </c>
      <c r="C7" s="344">
        <v>0.70000000000000007</v>
      </c>
      <c r="D7" s="339">
        <v>0.82200000000000006</v>
      </c>
      <c r="E7" s="344">
        <v>0.2</v>
      </c>
      <c r="F7" s="339">
        <v>1.25</v>
      </c>
      <c r="G7" s="344">
        <v>0.1</v>
      </c>
      <c r="H7" s="343">
        <v>0</v>
      </c>
      <c r="I7" s="339">
        <v>0.82500000000000007</v>
      </c>
      <c r="J7" s="59">
        <v>363090</v>
      </c>
    </row>
    <row r="8" spans="1:10" ht="17">
      <c r="A8" s="7" t="s">
        <v>227</v>
      </c>
      <c r="B8" s="60">
        <v>350000</v>
      </c>
      <c r="C8" s="345"/>
      <c r="D8" s="340"/>
      <c r="E8" s="345"/>
      <c r="F8" s="340"/>
      <c r="G8" s="345"/>
      <c r="H8" s="340"/>
      <c r="I8" s="340"/>
      <c r="J8" s="61">
        <v>288822</v>
      </c>
    </row>
    <row r="9" spans="1:10" ht="17">
      <c r="A9" s="7" t="s">
        <v>228</v>
      </c>
      <c r="B9" s="60">
        <v>350000</v>
      </c>
      <c r="C9" s="345"/>
      <c r="D9" s="340"/>
      <c r="E9" s="345"/>
      <c r="F9" s="340"/>
      <c r="G9" s="345"/>
      <c r="H9" s="340"/>
      <c r="I9" s="340"/>
      <c r="J9" s="61">
        <v>288822</v>
      </c>
    </row>
    <row r="10" spans="1:10" ht="17">
      <c r="A10" s="11" t="s">
        <v>229</v>
      </c>
      <c r="B10" s="62">
        <v>296000</v>
      </c>
      <c r="C10" s="346"/>
      <c r="D10" s="341"/>
      <c r="E10" s="346"/>
      <c r="F10" s="341"/>
      <c r="G10" s="346"/>
      <c r="H10" s="341"/>
      <c r="I10" s="341"/>
      <c r="J10" s="64">
        <v>244261</v>
      </c>
    </row>
    <row r="11" spans="1:10">
      <c r="A11" s="342"/>
      <c r="B11" s="342"/>
      <c r="C11" s="342"/>
      <c r="D11" s="342"/>
      <c r="E11" s="342"/>
      <c r="F11" s="342"/>
      <c r="G11" s="342"/>
      <c r="H11" s="342"/>
      <c r="I11" s="342"/>
      <c r="J11" s="342"/>
    </row>
  </sheetData>
  <mergeCells count="15">
    <mergeCell ref="A2:J2"/>
    <mergeCell ref="I7:I10"/>
    <mergeCell ref="A11:J11"/>
    <mergeCell ref="H7:H10"/>
    <mergeCell ref="G7:G10"/>
    <mergeCell ref="F7:F10"/>
    <mergeCell ref="E7:E10"/>
    <mergeCell ref="D7:D10"/>
    <mergeCell ref="C7:C10"/>
    <mergeCell ref="A5:A6"/>
    <mergeCell ref="C5:D5"/>
    <mergeCell ref="E5:F5"/>
    <mergeCell ref="G5:H5"/>
    <mergeCell ref="A3:J3"/>
    <mergeCell ref="A4:J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76</vt:i4>
      </vt:variant>
    </vt:vector>
  </HeadingPairs>
  <TitlesOfParts>
    <vt:vector size="76" baseType="lpstr">
      <vt:lpstr>Index</vt:lpstr>
      <vt:lpstr>Tab.01</vt:lpstr>
      <vt:lpstr>Tab.02</vt:lpstr>
      <vt:lpstr>Tab.03</vt:lpstr>
      <vt:lpstr>Tab.04</vt:lpstr>
      <vt:lpstr>Tab.05</vt:lpstr>
      <vt:lpstr>Tab.06</vt:lpstr>
      <vt:lpstr>Tab.07</vt:lpstr>
      <vt:lpstr>Tab.08</vt:lpstr>
      <vt:lpstr>Tab.09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Tab.45</vt:lpstr>
      <vt:lpstr>Tab.46</vt:lpstr>
      <vt:lpstr>Tab.47</vt:lpstr>
      <vt:lpstr>Tab.48</vt:lpstr>
      <vt:lpstr>Tab.49</vt:lpstr>
      <vt:lpstr>Tab.50</vt:lpstr>
      <vt:lpstr>Tab.51</vt:lpstr>
      <vt:lpstr>Tab.52</vt:lpstr>
      <vt:lpstr>Tab.53</vt:lpstr>
      <vt:lpstr>Tab.54</vt:lpstr>
      <vt:lpstr>Tab.55</vt:lpstr>
      <vt:lpstr>Tab.56</vt:lpstr>
      <vt:lpstr>Tab.57</vt:lpstr>
      <vt:lpstr>Tab.58</vt:lpstr>
      <vt:lpstr>Tab.59</vt:lpstr>
      <vt:lpstr>Tab.60</vt:lpstr>
      <vt:lpstr>Tab.61</vt:lpstr>
      <vt:lpstr>Tab.62</vt:lpstr>
      <vt:lpstr>Tab.63</vt:lpstr>
      <vt:lpstr>Tab.64</vt:lpstr>
      <vt:lpstr>Tab.65</vt:lpstr>
      <vt:lpstr>Tab.66</vt:lpstr>
      <vt:lpstr>Tab.67</vt:lpstr>
      <vt:lpstr>Tab.68</vt:lpstr>
      <vt:lpstr>Tab.69</vt:lpstr>
      <vt:lpstr>Tab.70</vt:lpstr>
      <vt:lpstr>Tab.71</vt:lpstr>
      <vt:lpstr>Tab.72</vt:lpstr>
      <vt:lpstr>Tab.73</vt:lpstr>
      <vt:lpstr>Tab.74</vt:lpstr>
      <vt:lpstr>Tab.75</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Kirchhoff_FOP</cp:lastModifiedBy>
  <cp:revision>2</cp:revision>
  <dcterms:created xsi:type="dcterms:W3CDTF">2025-12-02T13:20:55Z</dcterms:created>
  <dcterms:modified xsi:type="dcterms:W3CDTF">2025-12-03T14:06:30Z</dcterms:modified>
</cp:coreProperties>
</file>